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higenet-fsv\UserDesktop$\S00350\デスクトップ\統計はえばるH30\"/>
    </mc:Choice>
  </mc:AlternateContent>
  <bookViews>
    <workbookView xWindow="480" yWindow="60" windowWidth="18180" windowHeight="11025"/>
  </bookViews>
  <sheets>
    <sheet name="95" sheetId="1" r:id="rId1"/>
    <sheet name="96" sheetId="5" r:id="rId2"/>
    <sheet name="97" sheetId="6" r:id="rId3"/>
    <sheet name="98" sheetId="4" r:id="rId4"/>
  </sheets>
  <definedNames>
    <definedName name="_xlnm.Print_Area" localSheetId="0">'95'!$A$1:$J$63</definedName>
    <definedName name="_xlnm.Print_Area" localSheetId="1">'96'!$A$1:$R$32</definedName>
    <definedName name="_xlnm.Print_Area" localSheetId="3">'98'!$A$1:$J$26</definedName>
  </definedNames>
  <calcPr calcId="162913"/>
</workbook>
</file>

<file path=xl/calcChain.xml><?xml version="1.0" encoding="utf-8"?>
<calcChain xmlns="http://schemas.openxmlformats.org/spreadsheetml/2006/main">
  <c r="P8" i="1" l="1"/>
  <c r="P7" i="1"/>
  <c r="P6" i="1"/>
  <c r="P5" i="1"/>
  <c r="P4" i="1"/>
  <c r="P3" i="1"/>
  <c r="Q35" i="6"/>
  <c r="Q34" i="6"/>
  <c r="N34" i="6"/>
  <c r="L34" i="6"/>
  <c r="Q33" i="6"/>
  <c r="N33" i="6"/>
  <c r="L33" i="6"/>
  <c r="N32" i="6"/>
  <c r="L32" i="6"/>
  <c r="Q32" i="6" s="1"/>
  <c r="Q31" i="6"/>
  <c r="N31" i="6"/>
  <c r="L31" i="6"/>
  <c r="N30" i="6"/>
  <c r="L30" i="6"/>
  <c r="Q30" i="6" s="1"/>
  <c r="Q29" i="6"/>
  <c r="N29" i="6"/>
  <c r="L29" i="6"/>
  <c r="Q28" i="6"/>
  <c r="N28" i="6"/>
  <c r="L28" i="6"/>
  <c r="N27" i="6"/>
  <c r="L27" i="6"/>
  <c r="Q27" i="6" s="1"/>
  <c r="O26" i="6"/>
  <c r="N26" i="6"/>
  <c r="L26" i="6"/>
  <c r="Q26" i="6" s="1"/>
  <c r="K26" i="6"/>
  <c r="E26" i="6"/>
  <c r="O25" i="6"/>
  <c r="N25" i="6"/>
  <c r="L25" i="6"/>
  <c r="E25" i="6"/>
  <c r="N24" i="6"/>
  <c r="L24" i="6"/>
  <c r="K24" i="6"/>
  <c r="Q24" i="6" s="1"/>
  <c r="Q23" i="6"/>
  <c r="N23" i="6"/>
  <c r="L23" i="6"/>
  <c r="E23" i="6"/>
  <c r="N22" i="6"/>
  <c r="Q22" i="6" s="1"/>
  <c r="L22" i="6"/>
  <c r="K22" i="6"/>
  <c r="E22" i="6"/>
  <c r="O21" i="6"/>
  <c r="Q21" i="6" s="1"/>
  <c r="N21" i="6"/>
  <c r="L21" i="6"/>
  <c r="K21" i="6"/>
  <c r="E21" i="6"/>
  <c r="N20" i="6"/>
  <c r="L20" i="6"/>
  <c r="K20" i="6"/>
  <c r="Q20" i="6" s="1"/>
  <c r="N19" i="6"/>
  <c r="L19" i="6"/>
  <c r="Q19" i="6" s="1"/>
  <c r="N18" i="6"/>
  <c r="L18" i="6"/>
  <c r="K18" i="6"/>
  <c r="N17" i="6"/>
  <c r="L17" i="6"/>
  <c r="Q17" i="6" s="1"/>
  <c r="Q15" i="6"/>
  <c r="O14" i="6"/>
  <c r="N14" i="6"/>
  <c r="L14" i="6"/>
  <c r="K14" i="6"/>
  <c r="E14" i="6"/>
  <c r="Q14" i="6" s="1"/>
  <c r="O13" i="6"/>
  <c r="N13" i="6"/>
  <c r="L13" i="6"/>
  <c r="K13" i="6"/>
  <c r="E13" i="6"/>
  <c r="Q13" i="6" s="1"/>
  <c r="Q12" i="6"/>
  <c r="Q11" i="6"/>
  <c r="Q10" i="6"/>
  <c r="Q9" i="6"/>
  <c r="Q8" i="6"/>
  <c r="Q7" i="6"/>
  <c r="Q6" i="6"/>
  <c r="N31" i="5"/>
  <c r="M31" i="5"/>
  <c r="N28" i="5"/>
  <c r="M28" i="5"/>
  <c r="N25" i="5"/>
  <c r="M25" i="5"/>
  <c r="N22" i="5"/>
  <c r="M22" i="5"/>
  <c r="N19" i="5"/>
  <c r="M19" i="5"/>
  <c r="N16" i="5"/>
  <c r="M16" i="5"/>
  <c r="N13" i="5"/>
  <c r="M13" i="5"/>
  <c r="N10" i="5"/>
  <c r="M10" i="5"/>
  <c r="K31" i="5"/>
  <c r="J31" i="5"/>
  <c r="K28" i="5"/>
  <c r="J28" i="5"/>
  <c r="K25" i="5"/>
  <c r="J25" i="5"/>
  <c r="K22" i="5"/>
  <c r="J22" i="5"/>
  <c r="K19" i="5"/>
  <c r="J19" i="5"/>
  <c r="K16" i="5"/>
  <c r="J16" i="5"/>
  <c r="K10" i="5"/>
  <c r="J10" i="5"/>
  <c r="K13" i="5"/>
  <c r="J13" i="5"/>
  <c r="L13" i="5" s="1"/>
  <c r="H31" i="5"/>
  <c r="G31" i="5"/>
  <c r="H28" i="5"/>
  <c r="G28" i="5"/>
  <c r="H25" i="5"/>
  <c r="G25" i="5"/>
  <c r="H22" i="5"/>
  <c r="G22" i="5"/>
  <c r="H19" i="5"/>
  <c r="G19" i="5"/>
  <c r="H16" i="5"/>
  <c r="G16" i="5"/>
  <c r="H13" i="5"/>
  <c r="G13" i="5"/>
  <c r="H10" i="5"/>
  <c r="G10" i="5"/>
  <c r="E31" i="5"/>
  <c r="D31" i="5"/>
  <c r="C31" i="5"/>
  <c r="E28" i="5"/>
  <c r="D28" i="5"/>
  <c r="C28" i="5"/>
  <c r="E25" i="5"/>
  <c r="D25" i="5"/>
  <c r="C25" i="5"/>
  <c r="E22" i="5"/>
  <c r="D22" i="5"/>
  <c r="C22" i="5"/>
  <c r="E19" i="5"/>
  <c r="D19" i="5"/>
  <c r="C19" i="5"/>
  <c r="E16" i="5"/>
  <c r="D16" i="5"/>
  <c r="C16" i="5"/>
  <c r="E13" i="5"/>
  <c r="D13" i="5"/>
  <c r="C13" i="5"/>
  <c r="E10" i="5"/>
  <c r="D10" i="5"/>
  <c r="C10" i="5"/>
  <c r="Q31" i="5"/>
  <c r="Q28" i="5"/>
  <c r="Q25" i="5"/>
  <c r="Q22" i="5"/>
  <c r="Q19" i="5"/>
  <c r="Q16" i="5"/>
  <c r="Q13" i="5"/>
  <c r="Q10" i="5"/>
  <c r="M7" i="5"/>
  <c r="N7" i="5"/>
  <c r="K7" i="5"/>
  <c r="G7" i="5"/>
  <c r="H7" i="5"/>
  <c r="C7" i="5"/>
  <c r="D7" i="5"/>
  <c r="E7" i="5"/>
  <c r="O30" i="5"/>
  <c r="L30" i="5"/>
  <c r="I30" i="5"/>
  <c r="F30" i="5"/>
  <c r="P30" i="5" s="1"/>
  <c r="R30" i="5" s="1"/>
  <c r="O29" i="5"/>
  <c r="L29" i="5"/>
  <c r="I29" i="5"/>
  <c r="F29" i="5"/>
  <c r="O27" i="5"/>
  <c r="L27" i="5"/>
  <c r="I27" i="5"/>
  <c r="F27" i="5"/>
  <c r="O26" i="5"/>
  <c r="L26" i="5"/>
  <c r="I26" i="5"/>
  <c r="I28" i="5" s="1"/>
  <c r="F26" i="5"/>
  <c r="I25" i="5"/>
  <c r="O24" i="5"/>
  <c r="L24" i="5"/>
  <c r="I24" i="5"/>
  <c r="F24" i="5"/>
  <c r="P24" i="5" s="1"/>
  <c r="R24" i="5" s="1"/>
  <c r="O23" i="5"/>
  <c r="L23" i="5"/>
  <c r="L25" i="5" s="1"/>
  <c r="I23" i="5"/>
  <c r="F23" i="5"/>
  <c r="F25" i="5" s="1"/>
  <c r="O21" i="5"/>
  <c r="L21" i="5"/>
  <c r="I21" i="5"/>
  <c r="F21" i="5"/>
  <c r="P21" i="5" s="1"/>
  <c r="R21" i="5" s="1"/>
  <c r="O20" i="5"/>
  <c r="O22" i="5" s="1"/>
  <c r="L20" i="5"/>
  <c r="L22" i="5" s="1"/>
  <c r="I20" i="5"/>
  <c r="I22" i="5" s="1"/>
  <c r="F20" i="5"/>
  <c r="F22" i="5" s="1"/>
  <c r="O18" i="5"/>
  <c r="L18" i="5"/>
  <c r="I18" i="5"/>
  <c r="F18" i="5"/>
  <c r="P18" i="5" s="1"/>
  <c r="R18" i="5" s="1"/>
  <c r="O17" i="5"/>
  <c r="O19" i="5" s="1"/>
  <c r="L17" i="5"/>
  <c r="L19" i="5" s="1"/>
  <c r="I17" i="5"/>
  <c r="I19" i="5" s="1"/>
  <c r="F17" i="5"/>
  <c r="F19" i="5" s="1"/>
  <c r="O15" i="5"/>
  <c r="P15" i="5" s="1"/>
  <c r="R15" i="5" s="1"/>
  <c r="L15" i="5"/>
  <c r="I15" i="5"/>
  <c r="F15" i="5"/>
  <c r="O14" i="5"/>
  <c r="L14" i="5"/>
  <c r="L16" i="5" s="1"/>
  <c r="I14" i="5"/>
  <c r="F14" i="5"/>
  <c r="O12" i="5"/>
  <c r="L12" i="5"/>
  <c r="P12" i="5" s="1"/>
  <c r="R12" i="5" s="1"/>
  <c r="I12" i="5"/>
  <c r="F12" i="5"/>
  <c r="O11" i="5"/>
  <c r="O13" i="5" s="1"/>
  <c r="L11" i="5"/>
  <c r="I11" i="5"/>
  <c r="I13" i="5" s="1"/>
  <c r="F11" i="5"/>
  <c r="P11" i="5" s="1"/>
  <c r="O9" i="5"/>
  <c r="L9" i="5"/>
  <c r="I9" i="5"/>
  <c r="F9" i="5"/>
  <c r="P9" i="5" s="1"/>
  <c r="R9" i="5" s="1"/>
  <c r="O8" i="5"/>
  <c r="L8" i="5"/>
  <c r="I8" i="5"/>
  <c r="I10" i="5" s="1"/>
  <c r="F8" i="5"/>
  <c r="P8" i="5" s="1"/>
  <c r="Q7" i="5"/>
  <c r="J7" i="5"/>
  <c r="O6" i="5"/>
  <c r="O7" i="5" s="1"/>
  <c r="L6" i="5"/>
  <c r="I6" i="5"/>
  <c r="F6" i="5"/>
  <c r="P6" i="5" s="1"/>
  <c r="R6" i="5" s="1"/>
  <c r="O5" i="5"/>
  <c r="L5" i="5"/>
  <c r="P5" i="5" s="1"/>
  <c r="R5" i="5" s="1"/>
  <c r="I5" i="5"/>
  <c r="P10" i="5" l="1"/>
  <c r="R8" i="5"/>
  <c r="R10" i="5" s="1"/>
  <c r="P13" i="5"/>
  <c r="R11" i="5"/>
  <c r="R13" i="5" s="1"/>
  <c r="Q25" i="6"/>
  <c r="P17" i="5"/>
  <c r="L7" i="5"/>
  <c r="F10" i="5"/>
  <c r="Q18" i="6"/>
  <c r="P23" i="5"/>
  <c r="F7" i="5"/>
  <c r="O10" i="5"/>
  <c r="F13" i="5"/>
  <c r="I16" i="5"/>
  <c r="L10" i="5"/>
  <c r="F16" i="5"/>
  <c r="O16" i="5"/>
  <c r="P14" i="5"/>
  <c r="P16" i="5" s="1"/>
  <c r="I7" i="5"/>
  <c r="O31" i="5"/>
  <c r="L31" i="5"/>
  <c r="I31" i="5"/>
  <c r="F31" i="5"/>
  <c r="P29" i="5"/>
  <c r="O28" i="5"/>
  <c r="L28" i="5"/>
  <c r="P27" i="5"/>
  <c r="R27" i="5" s="1"/>
  <c r="P26" i="5"/>
  <c r="R26" i="5" s="1"/>
  <c r="O25" i="5"/>
  <c r="P25" i="5"/>
  <c r="R23" i="5"/>
  <c r="R25" i="5" s="1"/>
  <c r="R7" i="5"/>
  <c r="P7" i="5"/>
  <c r="P20" i="5"/>
  <c r="R14" i="5"/>
  <c r="R16" i="5" s="1"/>
  <c r="F28" i="5"/>
  <c r="P19" i="5" l="1"/>
  <c r="R17" i="5"/>
  <c r="R19" i="5" s="1"/>
  <c r="P31" i="5"/>
  <c r="R29" i="5"/>
  <c r="R31" i="5" s="1"/>
  <c r="R28" i="5"/>
  <c r="P28" i="5"/>
  <c r="P22" i="5"/>
  <c r="R20" i="5"/>
  <c r="R22" i="5" s="1"/>
  <c r="P9" i="1"/>
  <c r="P10" i="1"/>
  <c r="P11" i="1"/>
  <c r="L18" i="1"/>
  <c r="M18" i="1"/>
  <c r="N18" i="1"/>
  <c r="L19" i="1"/>
  <c r="M19" i="1"/>
  <c r="N19" i="1"/>
  <c r="L20" i="1"/>
  <c r="M20" i="1"/>
  <c r="N20" i="1"/>
  <c r="L21" i="1"/>
  <c r="M21" i="1"/>
  <c r="N21" i="1"/>
  <c r="L22" i="1"/>
  <c r="M22" i="1"/>
  <c r="N22" i="1"/>
  <c r="L23" i="1"/>
  <c r="M23" i="1"/>
  <c r="N23" i="1"/>
  <c r="L24" i="1"/>
  <c r="M24" i="1"/>
  <c r="N24" i="1"/>
  <c r="L25" i="1"/>
  <c r="M25" i="1"/>
  <c r="N25" i="1"/>
  <c r="L26" i="1"/>
  <c r="M26" i="1"/>
  <c r="N26" i="1"/>
  <c r="L27" i="1"/>
  <c r="O27" i="1" s="1"/>
  <c r="M27" i="1"/>
  <c r="N27" i="1"/>
  <c r="O21" i="1" l="1"/>
  <c r="O19" i="1"/>
  <c r="O23" i="1"/>
  <c r="O25" i="1"/>
  <c r="O26" i="1"/>
  <c r="O18" i="1"/>
  <c r="O20" i="1"/>
  <c r="O22" i="1"/>
  <c r="O24" i="1"/>
</calcChain>
</file>

<file path=xl/sharedStrings.xml><?xml version="1.0" encoding="utf-8"?>
<sst xmlns="http://schemas.openxmlformats.org/spreadsheetml/2006/main" count="338" uniqueCount="250">
  <si>
    <t>平成27年</t>
    <rPh sb="0" eb="2">
      <t>ヘイセイ</t>
    </rPh>
    <rPh sb="4" eb="5">
      <t>ネン</t>
    </rPh>
    <phoneticPr fontId="2"/>
  </si>
  <si>
    <t>平成26年</t>
    <rPh sb="0" eb="2">
      <t>ヘイセイ</t>
    </rPh>
    <rPh sb="4" eb="5">
      <t>ネン</t>
    </rPh>
    <phoneticPr fontId="2"/>
  </si>
  <si>
    <t>平成25年</t>
    <rPh sb="0" eb="2">
      <t>ヘイセイ</t>
    </rPh>
    <rPh sb="4" eb="5">
      <t>ネン</t>
    </rPh>
    <phoneticPr fontId="2"/>
  </si>
  <si>
    <t>平成24年</t>
    <rPh sb="0" eb="2">
      <t>ヘイセイ</t>
    </rPh>
    <rPh sb="4" eb="5">
      <t>ネン</t>
    </rPh>
    <phoneticPr fontId="2"/>
  </si>
  <si>
    <t>平成23年</t>
    <rPh sb="0" eb="2">
      <t>ヘイセイ</t>
    </rPh>
    <rPh sb="4" eb="5">
      <t>ネン</t>
    </rPh>
    <phoneticPr fontId="2"/>
  </si>
  <si>
    <t>平成22年</t>
    <rPh sb="0" eb="2">
      <t>ヘイセイ</t>
    </rPh>
    <rPh sb="4" eb="5">
      <t>ネン</t>
    </rPh>
    <phoneticPr fontId="2"/>
  </si>
  <si>
    <t>平成21年</t>
    <rPh sb="0" eb="2">
      <t>ヘイセイ</t>
    </rPh>
    <rPh sb="4" eb="5">
      <t>ネン</t>
    </rPh>
    <phoneticPr fontId="2"/>
  </si>
  <si>
    <t>営業用</t>
    <rPh sb="0" eb="3">
      <t>エイギョウヨウ</t>
    </rPh>
    <phoneticPr fontId="2"/>
  </si>
  <si>
    <t>自家用</t>
    <phoneticPr fontId="2"/>
  </si>
  <si>
    <t>軽二輪車</t>
    <phoneticPr fontId="2"/>
  </si>
  <si>
    <t>その他</t>
    <phoneticPr fontId="2"/>
  </si>
  <si>
    <t>農耕作業用</t>
    <phoneticPr fontId="2"/>
  </si>
  <si>
    <t>三輪以上</t>
    <phoneticPr fontId="2"/>
  </si>
  <si>
    <t>91cc～125cc</t>
    <phoneticPr fontId="2"/>
  </si>
  <si>
    <t>51cc～90cc</t>
    <phoneticPr fontId="2"/>
  </si>
  <si>
    <t>50cc以下</t>
    <rPh sb="4" eb="6">
      <t>イカ</t>
    </rPh>
    <phoneticPr fontId="2"/>
  </si>
  <si>
    <t>軽自動車</t>
    <rPh sb="0" eb="4">
      <t>ケイジドウシャ</t>
    </rPh>
    <phoneticPr fontId="2"/>
  </si>
  <si>
    <t>小型特殊自動車</t>
    <rPh sb="0" eb="2">
      <t>コガタ</t>
    </rPh>
    <rPh sb="2" eb="4">
      <t>トクシュ</t>
    </rPh>
    <rPh sb="4" eb="7">
      <t>ジドウシャ</t>
    </rPh>
    <phoneticPr fontId="2"/>
  </si>
  <si>
    <t>原動機付自転車</t>
    <rPh sb="0" eb="3">
      <t>ゲンドウキ</t>
    </rPh>
    <rPh sb="3" eb="4">
      <t>ツキ</t>
    </rPh>
    <rPh sb="4" eb="7">
      <t>ジテンシャ</t>
    </rPh>
    <phoneticPr fontId="2"/>
  </si>
  <si>
    <t>四輪貨物用</t>
    <rPh sb="0" eb="2">
      <t>ヨンリン</t>
    </rPh>
    <rPh sb="2" eb="5">
      <t>カモツヨウ</t>
    </rPh>
    <phoneticPr fontId="2"/>
  </si>
  <si>
    <t>四輪乗用</t>
    <rPh sb="0" eb="2">
      <t>ヨンリン</t>
    </rPh>
    <phoneticPr fontId="2"/>
  </si>
  <si>
    <t>乗合車</t>
    <rPh sb="0" eb="2">
      <t>ノリアイ</t>
    </rPh>
    <rPh sb="2" eb="3">
      <t>シャ</t>
    </rPh>
    <phoneticPr fontId="2"/>
  </si>
  <si>
    <t>特種（殊）車</t>
    <rPh sb="0" eb="2">
      <t>トクシュ</t>
    </rPh>
    <rPh sb="3" eb="4">
      <t>シュ</t>
    </rPh>
    <rPh sb="5" eb="6">
      <t>シャ</t>
    </rPh>
    <phoneticPr fontId="2"/>
  </si>
  <si>
    <t>貨物車</t>
    <rPh sb="0" eb="3">
      <t>カモツシャ</t>
    </rPh>
    <phoneticPr fontId="2"/>
  </si>
  <si>
    <t>乗用車</t>
    <rPh sb="0" eb="3">
      <t>ジョウヨウシャ</t>
    </rPh>
    <phoneticPr fontId="2"/>
  </si>
  <si>
    <t>計</t>
  </si>
  <si>
    <t>事業用</t>
  </si>
  <si>
    <t>自家用</t>
  </si>
  <si>
    <t>26年度</t>
    <rPh sb="3" eb="4">
      <t>ド</t>
    </rPh>
    <phoneticPr fontId="12"/>
  </si>
  <si>
    <t>25年度</t>
    <rPh sb="3" eb="4">
      <t>ド</t>
    </rPh>
    <phoneticPr fontId="12"/>
  </si>
  <si>
    <t>24年度</t>
    <rPh sb="3" eb="4">
      <t>ド</t>
    </rPh>
    <phoneticPr fontId="12"/>
  </si>
  <si>
    <t>23年度</t>
    <rPh sb="3" eb="4">
      <t>ド</t>
    </rPh>
    <phoneticPr fontId="12"/>
  </si>
  <si>
    <t>22年度</t>
    <rPh sb="3" eb="4">
      <t>ド</t>
    </rPh>
    <phoneticPr fontId="12"/>
  </si>
  <si>
    <t>21年度</t>
    <rPh sb="3" eb="4">
      <t>ド</t>
    </rPh>
    <phoneticPr fontId="12"/>
  </si>
  <si>
    <t>特種(殊)車計</t>
    <phoneticPr fontId="16"/>
  </si>
  <si>
    <t>大型特殊車</t>
  </si>
  <si>
    <t>特種用途車</t>
    <rPh sb="1" eb="2">
      <t>シュ</t>
    </rPh>
    <phoneticPr fontId="16"/>
  </si>
  <si>
    <t>乗用車計</t>
  </si>
  <si>
    <t>小型車</t>
  </si>
  <si>
    <t>普通車</t>
  </si>
  <si>
    <t>乗合者計</t>
  </si>
  <si>
    <t>貨物車計</t>
  </si>
  <si>
    <t>被けん引車</t>
  </si>
  <si>
    <t>年度</t>
  </si>
  <si>
    <t>特種（殊）用途用</t>
  </si>
  <si>
    <t>乗　　　　　用</t>
    <phoneticPr fontId="16"/>
  </si>
  <si>
    <t>乗　　合　　用</t>
    <phoneticPr fontId="16"/>
  </si>
  <si>
    <t>貨　　物　　用</t>
    <phoneticPr fontId="16"/>
  </si>
  <si>
    <t>業　　態</t>
    <phoneticPr fontId="16"/>
  </si>
  <si>
    <t>種別</t>
  </si>
  <si>
    <t>（１）　自動車保有車両数</t>
    <rPh sb="9" eb="12">
      <t>シャリョウスウ</t>
    </rPh>
    <phoneticPr fontId="12"/>
  </si>
  <si>
    <t>その他</t>
  </si>
  <si>
    <t>宮平ハイツ</t>
    <rPh sb="0" eb="2">
      <t>ミヤヒラ</t>
    </rPh>
    <phoneticPr fontId="10"/>
  </si>
  <si>
    <t>北丘ハイツ</t>
  </si>
  <si>
    <t>東新川</t>
  </si>
  <si>
    <t>第二団地</t>
  </si>
  <si>
    <t>第一団地</t>
  </si>
  <si>
    <t>兼本ハイツ</t>
  </si>
  <si>
    <t>神里</t>
  </si>
  <si>
    <t>山川</t>
  </si>
  <si>
    <t>津嘉山</t>
  </si>
  <si>
    <t>照屋　</t>
  </si>
  <si>
    <t>喜屋武</t>
  </si>
  <si>
    <t>本部</t>
  </si>
  <si>
    <t>兼城</t>
  </si>
  <si>
    <t>宮平</t>
  </si>
  <si>
    <t>新川</t>
  </si>
  <si>
    <t>大名</t>
  </si>
  <si>
    <t>宮城</t>
  </si>
  <si>
    <t>与那覇</t>
  </si>
  <si>
    <t>営業用</t>
  </si>
  <si>
    <t>年度別・字別</t>
  </si>
  <si>
    <t>四輪貨物用</t>
  </si>
  <si>
    <t>四輪乗用</t>
  </si>
  <si>
    <t>三輪以上</t>
    <rPh sb="0" eb="2">
      <t>サンリン</t>
    </rPh>
    <rPh sb="2" eb="4">
      <t>イジョウ</t>
    </rPh>
    <phoneticPr fontId="10"/>
  </si>
  <si>
    <t>原動機付自転車</t>
  </si>
  <si>
    <t>資料：上記バス会社３社</t>
    <rPh sb="0" eb="2">
      <t>シリョウ</t>
    </rPh>
    <rPh sb="3" eb="5">
      <t>ジョウキ</t>
    </rPh>
    <phoneticPr fontId="10"/>
  </si>
  <si>
    <t>〃</t>
  </si>
  <si>
    <t>下８回
上７回</t>
    <rPh sb="0" eb="1">
      <t>シタ</t>
    </rPh>
    <rPh sb="2" eb="3">
      <t>カイ</t>
    </rPh>
    <rPh sb="4" eb="5">
      <t>ウエ</t>
    </rPh>
    <rPh sb="6" eb="7">
      <t>カイ</t>
    </rPh>
    <phoneticPr fontId="10"/>
  </si>
  <si>
    <t>下 21：24
上 20：01</t>
    <rPh sb="0" eb="1">
      <t>シタ</t>
    </rPh>
    <rPh sb="8" eb="9">
      <t>ウエ</t>
    </rPh>
    <phoneticPr fontId="10"/>
  </si>
  <si>
    <t>下　7：04
上　7：14</t>
    <rPh sb="0" eb="1">
      <t>クダ</t>
    </rPh>
    <rPh sb="7" eb="8">
      <t>ノボ</t>
    </rPh>
    <phoneticPr fontId="10"/>
  </si>
  <si>
    <t>翔南製糖前、津嘉山、徳洲会病院前、川下原、山川</t>
    <rPh sb="10" eb="12">
      <t>トクシュウ</t>
    </rPh>
    <rPh sb="12" eb="13">
      <t>カイ</t>
    </rPh>
    <rPh sb="13" eb="15">
      <t>ビョウイン</t>
    </rPh>
    <rPh sb="15" eb="16">
      <t>マエ</t>
    </rPh>
    <phoneticPr fontId="10"/>
  </si>
  <si>
    <t>国立劇場
おきなわ</t>
    <rPh sb="0" eb="2">
      <t>コクリツ</t>
    </rPh>
    <rPh sb="2" eb="4">
      <t>ゲキジョウ</t>
    </rPh>
    <phoneticPr fontId="10"/>
  </si>
  <si>
    <t>国立劇場
おきなわ線</t>
    <rPh sb="0" eb="2">
      <t>コクリツ</t>
    </rPh>
    <rPh sb="2" eb="4">
      <t>ゲキジョウ</t>
    </rPh>
    <rPh sb="9" eb="10">
      <t>セン</t>
    </rPh>
    <phoneticPr fontId="10"/>
  </si>
  <si>
    <t>下５回
上４回</t>
    <rPh sb="0" eb="1">
      <t>シタ</t>
    </rPh>
    <rPh sb="2" eb="3">
      <t>カイ</t>
    </rPh>
    <rPh sb="4" eb="5">
      <t>ウエ</t>
    </rPh>
    <rPh sb="6" eb="7">
      <t>カイ</t>
    </rPh>
    <phoneticPr fontId="10"/>
  </si>
  <si>
    <t>下 20：27
上 18：55</t>
    <rPh sb="0" eb="1">
      <t>シタ</t>
    </rPh>
    <rPh sb="8" eb="9">
      <t>ウエ</t>
    </rPh>
    <phoneticPr fontId="10"/>
  </si>
  <si>
    <t>下　8：26
上　9：09</t>
    <rPh sb="0" eb="1">
      <t>クダ</t>
    </rPh>
    <rPh sb="7" eb="8">
      <t>ノボ</t>
    </rPh>
    <phoneticPr fontId="10"/>
  </si>
  <si>
    <t>志多伯おもろまち線</t>
    <rPh sb="0" eb="1">
      <t>シ</t>
    </rPh>
    <rPh sb="1" eb="2">
      <t>タ</t>
    </rPh>
    <rPh sb="2" eb="3">
      <t>ハク</t>
    </rPh>
    <rPh sb="8" eb="9">
      <t>セン</t>
    </rPh>
    <phoneticPr fontId="10"/>
  </si>
  <si>
    <t>沖縄バス
株式会社</t>
    <rPh sb="5" eb="9">
      <t>カブシキガイシャ</t>
    </rPh>
    <phoneticPr fontId="2"/>
  </si>
  <si>
    <t>下１回
上２回</t>
    <rPh sb="0" eb="1">
      <t>シタ</t>
    </rPh>
    <rPh sb="2" eb="3">
      <t>カイ</t>
    </rPh>
    <rPh sb="4" eb="5">
      <t>ウエ</t>
    </rPh>
    <rPh sb="6" eb="7">
      <t>カイ</t>
    </rPh>
    <phoneticPr fontId="10"/>
  </si>
  <si>
    <t>下 17：38
上  7：15</t>
    <rPh sb="0" eb="1">
      <t>シタ</t>
    </rPh>
    <rPh sb="8" eb="9">
      <t>ウエ</t>
    </rPh>
    <phoneticPr fontId="10"/>
  </si>
  <si>
    <t>糸満おもろまち線</t>
    <rPh sb="0" eb="2">
      <t>イトマン</t>
    </rPh>
    <rPh sb="7" eb="8">
      <t>セン</t>
    </rPh>
    <phoneticPr fontId="10"/>
  </si>
  <si>
    <t>東陽バス
株式会社</t>
    <rPh sb="5" eb="9">
      <t>カブシキガイシャ</t>
    </rPh>
    <phoneticPr fontId="2"/>
  </si>
  <si>
    <t>屋富祖</t>
    <rPh sb="0" eb="3">
      <t>ヤフソ</t>
    </rPh>
    <phoneticPr fontId="10"/>
  </si>
  <si>
    <t>与那覇、第一与那覇、南部保健所前、宮平、当間原、兼城十字路、印刷団地前</t>
    <rPh sb="0" eb="3">
      <t>ヨナハ</t>
    </rPh>
    <rPh sb="4" eb="6">
      <t>ダイイチ</t>
    </rPh>
    <rPh sb="6" eb="9">
      <t>ヨナハ</t>
    </rPh>
    <rPh sb="10" eb="12">
      <t>ナンブ</t>
    </rPh>
    <rPh sb="12" eb="15">
      <t>ホケンジョ</t>
    </rPh>
    <rPh sb="15" eb="16">
      <t>マエ</t>
    </rPh>
    <rPh sb="17" eb="19">
      <t>ミヤヒラ</t>
    </rPh>
    <rPh sb="20" eb="22">
      <t>トウマ</t>
    </rPh>
    <rPh sb="22" eb="23">
      <t>ハラ</t>
    </rPh>
    <rPh sb="24" eb="25">
      <t>カ</t>
    </rPh>
    <rPh sb="25" eb="26">
      <t>シロ</t>
    </rPh>
    <rPh sb="26" eb="29">
      <t>ジュウジロ</t>
    </rPh>
    <rPh sb="30" eb="32">
      <t>インサツ</t>
    </rPh>
    <rPh sb="32" eb="34">
      <t>ダンチ</t>
    </rPh>
    <rPh sb="34" eb="35">
      <t>マエ</t>
    </rPh>
    <phoneticPr fontId="10"/>
  </si>
  <si>
    <t>馬　天
営業所</t>
    <rPh sb="0" eb="1">
      <t>バ</t>
    </rPh>
    <rPh sb="2" eb="3">
      <t>テン</t>
    </rPh>
    <rPh sb="4" eb="7">
      <t>エイギョウショ</t>
    </rPh>
    <phoneticPr fontId="10"/>
  </si>
  <si>
    <t>城間線
（一日橋経由）</t>
    <rPh sb="5" eb="7">
      <t>イチニチ</t>
    </rPh>
    <rPh sb="7" eb="8">
      <t>バシ</t>
    </rPh>
    <phoneticPr fontId="16"/>
  </si>
  <si>
    <t>下３回
上３回</t>
    <rPh sb="0" eb="1">
      <t>シタ</t>
    </rPh>
    <rPh sb="2" eb="3">
      <t>カイ</t>
    </rPh>
    <rPh sb="4" eb="5">
      <t>ウエ</t>
    </rPh>
    <rPh sb="6" eb="7">
      <t>カイ</t>
    </rPh>
    <phoneticPr fontId="10"/>
  </si>
  <si>
    <t>下 19：52
上 12：55</t>
    <rPh sb="0" eb="1">
      <t>シタ</t>
    </rPh>
    <rPh sb="8" eb="9">
      <t>ウエ</t>
    </rPh>
    <phoneticPr fontId="10"/>
  </si>
  <si>
    <t>印刷団地前、兼城十字路、南風原町役場前、福祉センター入口、照屋、喜屋武</t>
    <rPh sb="20" eb="22">
      <t>フクシ</t>
    </rPh>
    <rPh sb="26" eb="27">
      <t>イ</t>
    </rPh>
    <rPh sb="27" eb="28">
      <t>グチ</t>
    </rPh>
    <phoneticPr fontId="2"/>
  </si>
  <si>
    <t>下２回
上２回</t>
    <rPh sb="0" eb="1">
      <t>シタ</t>
    </rPh>
    <rPh sb="2" eb="3">
      <t>カイ</t>
    </rPh>
    <rPh sb="4" eb="5">
      <t>ウエ</t>
    </rPh>
    <rPh sb="6" eb="7">
      <t>カイ</t>
    </rPh>
    <phoneticPr fontId="10"/>
  </si>
  <si>
    <t>下 15：27
上 16：03</t>
    <rPh sb="0" eb="1">
      <t>シタ</t>
    </rPh>
    <rPh sb="8" eb="9">
      <t>ウエ</t>
    </rPh>
    <phoneticPr fontId="10"/>
  </si>
  <si>
    <t>徳洲会
病院前</t>
    <rPh sb="0" eb="2">
      <t>トクシュウ</t>
    </rPh>
    <rPh sb="2" eb="3">
      <t>カイ</t>
    </rPh>
    <rPh sb="4" eb="6">
      <t>ビョウイン</t>
    </rPh>
    <rPh sb="6" eb="7">
      <t>マエ</t>
    </rPh>
    <phoneticPr fontId="2"/>
  </si>
  <si>
    <t>那覇</t>
  </si>
  <si>
    <t>津嘉山線</t>
    <rPh sb="0" eb="3">
      <t>ツカザン</t>
    </rPh>
    <phoneticPr fontId="2"/>
  </si>
  <si>
    <t>屋富祖</t>
  </si>
  <si>
    <t>与那覇、第一与那覇、南部保健所前、宮平、当間原、兼城十字路、兼城、育成園前、新川、県立医療センター東口</t>
    <rPh sb="4" eb="6">
      <t>ダイイチ</t>
    </rPh>
    <rPh sb="6" eb="9">
      <t>ヨナハ</t>
    </rPh>
    <rPh sb="41" eb="43">
      <t>ケンリツ</t>
    </rPh>
    <rPh sb="43" eb="45">
      <t>イリョウ</t>
    </rPh>
    <rPh sb="49" eb="51">
      <t>ヒガシグチ</t>
    </rPh>
    <phoneticPr fontId="10"/>
  </si>
  <si>
    <t>馬　天
営業所</t>
    <rPh sb="4" eb="7">
      <t>エイギョウショ</t>
    </rPh>
    <phoneticPr fontId="21"/>
  </si>
  <si>
    <t>株式会社
琉球バス交通</t>
    <rPh sb="0" eb="4">
      <t>カブシキガイシャ</t>
    </rPh>
    <rPh sb="9" eb="11">
      <t>コウツウ</t>
    </rPh>
    <phoneticPr fontId="21"/>
  </si>
  <si>
    <t>下９回
上９回</t>
    <rPh sb="0" eb="1">
      <t>シタ</t>
    </rPh>
    <rPh sb="2" eb="3">
      <t>カイ</t>
    </rPh>
    <rPh sb="4" eb="5">
      <t>ウエ</t>
    </rPh>
    <rPh sb="6" eb="7">
      <t>カイ</t>
    </rPh>
    <phoneticPr fontId="10"/>
  </si>
  <si>
    <t>下 19：50
上 21：00</t>
    <rPh sb="0" eb="1">
      <t>シタ</t>
    </rPh>
    <rPh sb="8" eb="9">
      <t>ウエ</t>
    </rPh>
    <phoneticPr fontId="21"/>
  </si>
  <si>
    <t>玉泉洞
駐車場</t>
    <rPh sb="4" eb="7">
      <t>チュウシャジョウ</t>
    </rPh>
    <phoneticPr fontId="2"/>
  </si>
  <si>
    <t>翔南製糖前、津嘉山十字路、川下原、徳洲会病院入口、山川</t>
    <rPh sb="17" eb="18">
      <t>トク</t>
    </rPh>
    <rPh sb="18" eb="19">
      <t>シュウ</t>
    </rPh>
    <rPh sb="19" eb="20">
      <t>カイ</t>
    </rPh>
    <rPh sb="20" eb="22">
      <t>ビョウイン</t>
    </rPh>
    <rPh sb="22" eb="23">
      <t>イ</t>
    </rPh>
    <rPh sb="23" eb="24">
      <t>グチ</t>
    </rPh>
    <phoneticPr fontId="2"/>
  </si>
  <si>
    <t>玉泉洞線</t>
  </si>
  <si>
    <t>東風平廻り2本
目取真廻り2本</t>
    <rPh sb="0" eb="3">
      <t>コチンダ</t>
    </rPh>
    <rPh sb="3" eb="4">
      <t>マワ</t>
    </rPh>
    <rPh sb="6" eb="7">
      <t>ホン</t>
    </rPh>
    <rPh sb="8" eb="9">
      <t>メ</t>
    </rPh>
    <rPh sb="9" eb="10">
      <t>ト</t>
    </rPh>
    <rPh sb="10" eb="11">
      <t>マ</t>
    </rPh>
    <rPh sb="11" eb="12">
      <t>マワ</t>
    </rPh>
    <rPh sb="14" eb="15">
      <t>ホン</t>
    </rPh>
    <phoneticPr fontId="10"/>
  </si>
  <si>
    <t>循環終発
　 18：06</t>
    <rPh sb="0" eb="2">
      <t>ジュンカン</t>
    </rPh>
    <rPh sb="2" eb="4">
      <t>シュウハツ</t>
    </rPh>
    <phoneticPr fontId="10"/>
  </si>
  <si>
    <t>循環始発
　　6：18</t>
    <rPh sb="0" eb="2">
      <t>ジュンカン</t>
    </rPh>
    <rPh sb="2" eb="4">
      <t>シハツ</t>
    </rPh>
    <phoneticPr fontId="16"/>
  </si>
  <si>
    <t>上泉</t>
    <rPh sb="0" eb="1">
      <t>ウエ</t>
    </rPh>
    <rPh sb="1" eb="2">
      <t>イズミ</t>
    </rPh>
    <phoneticPr fontId="16"/>
  </si>
  <si>
    <t>下１４本
上　　　８本</t>
    <rPh sb="0" eb="1">
      <t>シタ</t>
    </rPh>
    <rPh sb="3" eb="4">
      <t>ホン</t>
    </rPh>
    <rPh sb="5" eb="6">
      <t>ウエ</t>
    </rPh>
    <rPh sb="10" eb="11">
      <t>ホン</t>
    </rPh>
    <phoneticPr fontId="10"/>
  </si>
  <si>
    <t>下 21：55
上 10：00</t>
    <rPh sb="8" eb="9">
      <t>ウエ</t>
    </rPh>
    <phoneticPr fontId="10"/>
  </si>
  <si>
    <t>志喜屋線</t>
  </si>
  <si>
    <t>下　　　５本
上１４本</t>
    <rPh sb="0" eb="1">
      <t>シタ</t>
    </rPh>
    <rPh sb="5" eb="6">
      <t>ホン</t>
    </rPh>
    <rPh sb="7" eb="8">
      <t>ウエ</t>
    </rPh>
    <rPh sb="10" eb="11">
      <t>ホン</t>
    </rPh>
    <phoneticPr fontId="10"/>
  </si>
  <si>
    <t>下 10：50
上 20：45</t>
    <rPh sb="0" eb="1">
      <t>シタ</t>
    </rPh>
    <rPh sb="8" eb="9">
      <t>ウエ</t>
    </rPh>
    <phoneticPr fontId="10"/>
  </si>
  <si>
    <t>百名（船越）線</t>
  </si>
  <si>
    <t>下２８本
上２５本</t>
    <rPh sb="0" eb="1">
      <t>シタ</t>
    </rPh>
    <rPh sb="3" eb="4">
      <t>ホン</t>
    </rPh>
    <rPh sb="5" eb="6">
      <t>ウエ</t>
    </rPh>
    <rPh sb="8" eb="9">
      <t>ホン</t>
    </rPh>
    <phoneticPr fontId="10"/>
  </si>
  <si>
    <t>下 22：15
上 21：18</t>
    <rPh sb="0" eb="1">
      <t>シタ</t>
    </rPh>
    <rPh sb="8" eb="9">
      <t>ウエ</t>
    </rPh>
    <phoneticPr fontId="10"/>
  </si>
  <si>
    <t>上泉</t>
    <rPh sb="0" eb="1">
      <t>ウエ</t>
    </rPh>
    <rPh sb="1" eb="2">
      <t>イズミ</t>
    </rPh>
    <phoneticPr fontId="21"/>
  </si>
  <si>
    <t>下１０回
上１０回</t>
    <rPh sb="0" eb="1">
      <t>シタ</t>
    </rPh>
    <rPh sb="3" eb="4">
      <t>カイ</t>
    </rPh>
    <rPh sb="5" eb="6">
      <t>ウエ</t>
    </rPh>
    <rPh sb="8" eb="9">
      <t>カイ</t>
    </rPh>
    <phoneticPr fontId="10"/>
  </si>
  <si>
    <t>下 20：16
上 21：00</t>
    <rPh sb="0" eb="1">
      <t>シタ</t>
    </rPh>
    <rPh sb="8" eb="9">
      <t>ウエ</t>
    </rPh>
    <phoneticPr fontId="10"/>
  </si>
  <si>
    <t>南部
保健所前</t>
    <rPh sb="0" eb="2">
      <t>ナンブ</t>
    </rPh>
    <rPh sb="3" eb="6">
      <t>ホケンジョ</t>
    </rPh>
    <rPh sb="6" eb="7">
      <t>マエ</t>
    </rPh>
    <phoneticPr fontId="16"/>
  </si>
  <si>
    <r>
      <t xml:space="preserve">印刷団地前、兼城十字路、当間原、宮平、南部保健所前
</t>
    </r>
    <r>
      <rPr>
        <sz val="7"/>
        <rFont val="ＭＳ 明朝"/>
        <family val="1"/>
        <charset val="128"/>
      </rPr>
      <t>※上り宮平起点、下り南部保健所終点</t>
    </r>
    <rPh sb="27" eb="28">
      <t>ノボ</t>
    </rPh>
    <rPh sb="29" eb="31">
      <t>ミヤヒラ</t>
    </rPh>
    <rPh sb="31" eb="33">
      <t>キテン</t>
    </rPh>
    <rPh sb="34" eb="35">
      <t>クダ</t>
    </rPh>
    <rPh sb="36" eb="38">
      <t>ナンブ</t>
    </rPh>
    <rPh sb="38" eb="41">
      <t>ホケンジョ</t>
    </rPh>
    <rPh sb="41" eb="43">
      <t>シュウテン</t>
    </rPh>
    <phoneticPr fontId="2"/>
  </si>
  <si>
    <t>南風原線</t>
    <rPh sb="0" eb="3">
      <t>ハエバル</t>
    </rPh>
    <phoneticPr fontId="10"/>
  </si>
  <si>
    <t>下５回
上５回</t>
    <rPh sb="0" eb="1">
      <t>シタ</t>
    </rPh>
    <rPh sb="2" eb="3">
      <t>カイ</t>
    </rPh>
    <rPh sb="4" eb="5">
      <t>ウエ</t>
    </rPh>
    <rPh sb="6" eb="7">
      <t>カイ</t>
    </rPh>
    <phoneticPr fontId="10"/>
  </si>
  <si>
    <t>下 20：27
上 19：53</t>
    <rPh sb="0" eb="1">
      <t>シタ</t>
    </rPh>
    <rPh sb="8" eb="9">
      <t>ウエ</t>
    </rPh>
    <phoneticPr fontId="10"/>
  </si>
  <si>
    <t>印刷団地前、兼城十字路、当間原、宮平、南部保健所前、第一与那覇、与那覇</t>
  </si>
  <si>
    <t>下２７回
上２７回</t>
    <rPh sb="0" eb="1">
      <t>シタ</t>
    </rPh>
    <rPh sb="3" eb="4">
      <t>カイ</t>
    </rPh>
    <rPh sb="5" eb="6">
      <t>ウエ</t>
    </rPh>
    <rPh sb="8" eb="9">
      <t>カイ</t>
    </rPh>
    <phoneticPr fontId="10"/>
  </si>
  <si>
    <t>下 21：47
上 21：15</t>
    <rPh sb="0" eb="1">
      <t>シタ</t>
    </rPh>
    <rPh sb="8" eb="9">
      <t>ウエ</t>
    </rPh>
    <phoneticPr fontId="21"/>
  </si>
  <si>
    <t>大里線</t>
  </si>
  <si>
    <t>下２８回
上２８回</t>
    <rPh sb="0" eb="1">
      <t>シタ</t>
    </rPh>
    <rPh sb="3" eb="4">
      <t>カイ</t>
    </rPh>
    <rPh sb="5" eb="6">
      <t>ウエ</t>
    </rPh>
    <rPh sb="8" eb="9">
      <t>カイ</t>
    </rPh>
    <phoneticPr fontId="10"/>
  </si>
  <si>
    <t>下 22：02
上 20：45</t>
    <rPh sb="0" eb="1">
      <t>シタ</t>
    </rPh>
    <rPh sb="8" eb="9">
      <t>ウエ</t>
    </rPh>
    <phoneticPr fontId="10"/>
  </si>
  <si>
    <t>百名線</t>
  </si>
  <si>
    <t>志喜屋</t>
  </si>
  <si>
    <t>馬天
営業所</t>
    <rPh sb="0" eb="1">
      <t>バ</t>
    </rPh>
    <rPh sb="1" eb="2">
      <t>テン</t>
    </rPh>
    <rPh sb="3" eb="6">
      <t>エイギョウショ</t>
    </rPh>
    <phoneticPr fontId="10"/>
  </si>
  <si>
    <t>那覇新開線</t>
    <rPh sb="0" eb="2">
      <t>ナハ</t>
    </rPh>
    <rPh sb="2" eb="4">
      <t>シンカイ</t>
    </rPh>
    <rPh sb="4" eb="5">
      <t>セン</t>
    </rPh>
    <phoneticPr fontId="10"/>
  </si>
  <si>
    <t>下１７回
上１９回</t>
    <rPh sb="0" eb="1">
      <t>シタ</t>
    </rPh>
    <rPh sb="3" eb="4">
      <t>カイ</t>
    </rPh>
    <rPh sb="5" eb="6">
      <t>ウエ</t>
    </rPh>
    <rPh sb="8" eb="9">
      <t>カイ</t>
    </rPh>
    <phoneticPr fontId="10"/>
  </si>
  <si>
    <t>下 21：22
上 20：53</t>
    <rPh sb="0" eb="1">
      <t>シタ</t>
    </rPh>
    <rPh sb="8" eb="9">
      <t>ウエ</t>
    </rPh>
    <phoneticPr fontId="10"/>
  </si>
  <si>
    <t>下１７回
上１６回</t>
    <rPh sb="0" eb="1">
      <t>シタ</t>
    </rPh>
    <rPh sb="3" eb="4">
      <t>カイ</t>
    </rPh>
    <rPh sb="5" eb="6">
      <t>ウエ</t>
    </rPh>
    <rPh sb="8" eb="9">
      <t>カイ</t>
    </rPh>
    <phoneticPr fontId="10"/>
  </si>
  <si>
    <t>下 20：37
上 21：13</t>
    <rPh sb="0" eb="1">
      <t>クダ</t>
    </rPh>
    <rPh sb="8" eb="9">
      <t>ウエ</t>
    </rPh>
    <phoneticPr fontId="10"/>
  </si>
  <si>
    <t>翔南製糖前、津嘉山、川下原、山川</t>
  </si>
  <si>
    <t>泡瀬
営業所</t>
    <rPh sb="0" eb="2">
      <t>アワセ</t>
    </rPh>
    <rPh sb="3" eb="6">
      <t>エイギョウショ</t>
    </rPh>
    <phoneticPr fontId="10"/>
  </si>
  <si>
    <t>泡瀬東線</t>
  </si>
  <si>
    <t>バス会社名</t>
  </si>
  <si>
    <t>平日運行本数
（１日あたり）</t>
    <rPh sb="0" eb="2">
      <t>ヘイジツ</t>
    </rPh>
    <rPh sb="2" eb="4">
      <t>ウンコウ</t>
    </rPh>
    <rPh sb="4" eb="6">
      <t>ホンスウ</t>
    </rPh>
    <rPh sb="9" eb="10">
      <t>ニチ</t>
    </rPh>
    <phoneticPr fontId="21"/>
  </si>
  <si>
    <t>路線番号</t>
  </si>
  <si>
    <t>※91番線はH30年12月に廃線</t>
    <rPh sb="3" eb="5">
      <t>バンセン</t>
    </rPh>
    <rPh sb="9" eb="10">
      <t>ネン</t>
    </rPh>
    <rPh sb="12" eb="13">
      <t>ツキ</t>
    </rPh>
    <rPh sb="14" eb="16">
      <t>ハイセン</t>
    </rPh>
    <phoneticPr fontId="2"/>
  </si>
  <si>
    <t>各年3月31日　</t>
    <phoneticPr fontId="16"/>
  </si>
  <si>
    <t>登　　録　自動車計</t>
    <phoneticPr fontId="16"/>
  </si>
  <si>
    <t>小　型　二輪車</t>
    <phoneticPr fontId="16"/>
  </si>
  <si>
    <t>検　　査　自動車計</t>
    <phoneticPr fontId="16"/>
  </si>
  <si>
    <t>27年度</t>
    <rPh sb="3" eb="4">
      <t>ド</t>
    </rPh>
    <phoneticPr fontId="12"/>
  </si>
  <si>
    <t>28年度</t>
    <rPh sb="3" eb="4">
      <t>ド</t>
    </rPh>
    <phoneticPr fontId="12"/>
  </si>
  <si>
    <t>29年度</t>
    <rPh sb="3" eb="4">
      <t>ド</t>
    </rPh>
    <phoneticPr fontId="12"/>
  </si>
  <si>
    <t>資料：沖縄総合事務局陸運事務所　</t>
  </si>
  <si>
    <t>糸満バスターミナル</t>
    <rPh sb="0" eb="2">
      <t>イトマン</t>
    </rPh>
    <phoneticPr fontId="2"/>
  </si>
  <si>
    <t>親慶原
出張所</t>
    <rPh sb="0" eb="3">
      <t>オヤケバル</t>
    </rPh>
    <rPh sb="4" eb="7">
      <t>シュッチョウショ</t>
    </rPh>
    <phoneticPr fontId="16"/>
  </si>
  <si>
    <t>親慶原
出張所
新原</t>
    <rPh sb="0" eb="3">
      <t>オヤケバル</t>
    </rPh>
    <rPh sb="4" eb="7">
      <t>シュッチョウショ</t>
    </rPh>
    <rPh sb="8" eb="10">
      <t>ニイバル</t>
    </rPh>
    <phoneticPr fontId="16"/>
  </si>
  <si>
    <t>大城
親慶原
出張所</t>
    <rPh sb="0" eb="2">
      <t>オオシロ</t>
    </rPh>
    <rPh sb="3" eb="6">
      <t>オヤケバル</t>
    </rPh>
    <rPh sb="7" eb="10">
      <t>シュッチョウショ</t>
    </rPh>
    <phoneticPr fontId="10"/>
  </si>
  <si>
    <t>糸満バスターミナル</t>
    <rPh sb="0" eb="2">
      <t>イトマン</t>
    </rPh>
    <phoneticPr fontId="10"/>
  </si>
  <si>
    <t>大　城　
（親慶原出張所）</t>
    <rPh sb="6" eb="9">
      <t>オヤケバル</t>
    </rPh>
    <rPh sb="9" eb="12">
      <t>シュッチョウショ</t>
    </rPh>
    <phoneticPr fontId="16"/>
  </si>
  <si>
    <t>（２）　軽自動車保有台数</t>
    <phoneticPr fontId="10"/>
  </si>
  <si>
    <t>各年4月1日現在</t>
    <rPh sb="6" eb="8">
      <t>ゲンザイ</t>
    </rPh>
    <phoneticPr fontId="16"/>
  </si>
  <si>
    <t>小型特殊自動車</t>
    <phoneticPr fontId="16"/>
  </si>
  <si>
    <t>軽　　自　　動　　車</t>
    <phoneticPr fontId="16"/>
  </si>
  <si>
    <t>合　計</t>
    <phoneticPr fontId="16"/>
  </si>
  <si>
    <t>50cc以下</t>
    <phoneticPr fontId="2"/>
  </si>
  <si>
    <t>51cc～90cc</t>
    <phoneticPr fontId="2"/>
  </si>
  <si>
    <t>91cc～125cc</t>
    <phoneticPr fontId="16"/>
  </si>
  <si>
    <t>農耕作業用</t>
    <phoneticPr fontId="2"/>
  </si>
  <si>
    <t>その他</t>
    <phoneticPr fontId="2"/>
  </si>
  <si>
    <t>軽二輪車</t>
    <phoneticPr fontId="2"/>
  </si>
  <si>
    <t>二輪の
小型自動車</t>
    <phoneticPr fontId="16"/>
  </si>
  <si>
    <t>自家用</t>
    <phoneticPr fontId="2"/>
  </si>
  <si>
    <t>平成　21　年</t>
    <rPh sb="0" eb="2">
      <t>ヘイセイ</t>
    </rPh>
    <phoneticPr fontId="10"/>
  </si>
  <si>
    <t>22　年</t>
    <phoneticPr fontId="10"/>
  </si>
  <si>
    <t>23　年</t>
  </si>
  <si>
    <t>24　年</t>
  </si>
  <si>
    <t>25　年</t>
  </si>
  <si>
    <t>26　年</t>
  </si>
  <si>
    <t>27　年</t>
  </si>
  <si>
    <t>28　年</t>
  </si>
  <si>
    <t>　</t>
    <phoneticPr fontId="10"/>
  </si>
  <si>
    <t>29　年</t>
  </si>
  <si>
    <t>30　年</t>
  </si>
  <si>
    <t>平成30年度　字別詳細</t>
    <rPh sb="0" eb="2">
      <t>ヘイセイ</t>
    </rPh>
    <rPh sb="4" eb="5">
      <t>ネン</t>
    </rPh>
    <rPh sb="5" eb="6">
      <t>ド</t>
    </rPh>
    <rPh sb="7" eb="8">
      <t>アザ</t>
    </rPh>
    <rPh sb="8" eb="9">
      <t>ベツ</t>
    </rPh>
    <rPh sb="9" eb="11">
      <t>ショウサイ</t>
    </rPh>
    <phoneticPr fontId="10"/>
  </si>
  <si>
    <t>資料：税務課　</t>
    <phoneticPr fontId="16"/>
  </si>
  <si>
    <t>平成28年</t>
    <rPh sb="0" eb="2">
      <t>ヘイセイ</t>
    </rPh>
    <rPh sb="4" eb="5">
      <t>ネン</t>
    </rPh>
    <phoneticPr fontId="2"/>
  </si>
  <si>
    <t>平成29年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</si>
  <si>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</si>
  <si>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（３）　バス運行状況</t>
    <phoneticPr fontId="16"/>
  </si>
  <si>
    <t xml:space="preserve">平成３０年１０月現在 </t>
    <phoneticPr fontId="16"/>
  </si>
  <si>
    <t>路　線　名</t>
    <phoneticPr fontId="16"/>
  </si>
  <si>
    <t>起　点</t>
    <phoneticPr fontId="2"/>
  </si>
  <si>
    <t>町　内　停　留　所</t>
    <phoneticPr fontId="16"/>
  </si>
  <si>
    <t>終　点</t>
    <phoneticPr fontId="16"/>
  </si>
  <si>
    <t>始　発</t>
    <phoneticPr fontId="16"/>
  </si>
  <si>
    <t>終　発</t>
    <phoneticPr fontId="16"/>
  </si>
  <si>
    <t>那覇
バスターミナル</t>
    <phoneticPr fontId="21"/>
  </si>
  <si>
    <t>下 5：45
上 5：30</t>
    <phoneticPr fontId="16"/>
  </si>
  <si>
    <t>下 21：40
上 21：20</t>
    <rPh sb="0" eb="1">
      <t>ゲ</t>
    </rPh>
    <rPh sb="8" eb="9">
      <t>ウエ</t>
    </rPh>
    <phoneticPr fontId="10"/>
  </si>
  <si>
    <t>下３３本
上３３本</t>
    <rPh sb="0" eb="1">
      <t>クダ</t>
    </rPh>
    <rPh sb="3" eb="4">
      <t>ホン</t>
    </rPh>
    <rPh sb="5" eb="6">
      <t>ウエ</t>
    </rPh>
    <rPh sb="8" eb="9">
      <t>ホン</t>
    </rPh>
    <phoneticPr fontId="16"/>
  </si>
  <si>
    <t>糸満（東風平）線</t>
    <phoneticPr fontId="16"/>
  </si>
  <si>
    <t>下  6：15
上  6：36</t>
    <phoneticPr fontId="16"/>
  </si>
  <si>
    <t>糸満 （志多伯）線</t>
    <phoneticPr fontId="16"/>
  </si>
  <si>
    <t>下  6：51
上  6：28</t>
    <phoneticPr fontId="16"/>
  </si>
  <si>
    <t>〃</t>
    <phoneticPr fontId="21"/>
  </si>
  <si>
    <t>下  7：45
上  5：45</t>
    <phoneticPr fontId="16"/>
  </si>
  <si>
    <t>下 22：04
上 21：15</t>
    <rPh sb="0" eb="1">
      <t>シタ</t>
    </rPh>
    <rPh sb="8" eb="9">
      <t>ウエ</t>
    </rPh>
    <phoneticPr fontId="10"/>
  </si>
  <si>
    <t>下２０本
上２０本</t>
    <rPh sb="0" eb="1">
      <t>シタ</t>
    </rPh>
    <rPh sb="3" eb="4">
      <t>ホン</t>
    </rPh>
    <rPh sb="5" eb="6">
      <t>ウエ</t>
    </rPh>
    <rPh sb="8" eb="9">
      <t>ホン</t>
    </rPh>
    <phoneticPr fontId="10"/>
  </si>
  <si>
    <t>下  6：38
上  6：24</t>
    <phoneticPr fontId="16"/>
  </si>
  <si>
    <t>下 21：11
上 19：41</t>
    <rPh sb="0" eb="1">
      <t>シタ</t>
    </rPh>
    <rPh sb="8" eb="9">
      <t>ウエ</t>
    </rPh>
    <phoneticPr fontId="10"/>
  </si>
  <si>
    <t>下１６本
上１６本</t>
    <rPh sb="0" eb="1">
      <t>シタ</t>
    </rPh>
    <rPh sb="3" eb="4">
      <t>ホン</t>
    </rPh>
    <rPh sb="5" eb="6">
      <t>ウエ</t>
    </rPh>
    <rPh sb="8" eb="9">
      <t>ホン</t>
    </rPh>
    <phoneticPr fontId="10"/>
  </si>
  <si>
    <t>下  6：09
上  6：25</t>
    <phoneticPr fontId="16"/>
  </si>
  <si>
    <t>下  6：32
上  6：45</t>
    <phoneticPr fontId="16"/>
  </si>
  <si>
    <t>つきしろの街線</t>
    <phoneticPr fontId="10"/>
  </si>
  <si>
    <t>下  9：21
上  7：28</t>
    <phoneticPr fontId="16"/>
  </si>
  <si>
    <t>下  9：05
上  9：40</t>
    <phoneticPr fontId="16"/>
  </si>
  <si>
    <t>百名（東風平）線</t>
    <phoneticPr fontId="16"/>
  </si>
  <si>
    <t>百名バスターミナル</t>
    <phoneticPr fontId="16"/>
  </si>
  <si>
    <t>下  6：28
上  5：57</t>
    <phoneticPr fontId="16"/>
  </si>
  <si>
    <t>下  6：42
上  9：05</t>
    <phoneticPr fontId="16"/>
  </si>
  <si>
    <t>〃</t>
    <phoneticPr fontId="16"/>
  </si>
  <si>
    <t>下 11：26
上  6：28</t>
    <phoneticPr fontId="16"/>
  </si>
  <si>
    <t>前川線</t>
    <phoneticPr fontId="2"/>
  </si>
  <si>
    <t>下  7：17
上  8：49</t>
    <phoneticPr fontId="16"/>
  </si>
  <si>
    <t>城間線
（南風原経由）</t>
    <phoneticPr fontId="16"/>
  </si>
  <si>
    <t>下  6：55
上  8：10</t>
    <phoneticPr fontId="16"/>
  </si>
  <si>
    <t>下 15：10
上 16：14</t>
    <rPh sb="0" eb="1">
      <t>シタ</t>
    </rPh>
    <rPh sb="8" eb="9">
      <t>ウエ</t>
    </rPh>
    <phoneticPr fontId="10"/>
  </si>
  <si>
    <t>下２本
上２本</t>
    <rPh sb="0" eb="1">
      <t>シタ</t>
    </rPh>
    <rPh sb="2" eb="3">
      <t>ホン</t>
    </rPh>
    <rPh sb="4" eb="5">
      <t>ウエ</t>
    </rPh>
    <rPh sb="6" eb="7">
      <t>ホン</t>
    </rPh>
    <phoneticPr fontId="10"/>
  </si>
  <si>
    <t>翔南製糖前、津嘉山、川下原</t>
    <phoneticPr fontId="10"/>
  </si>
  <si>
    <t>下 13：54
上 14：30</t>
    <phoneticPr fontId="16"/>
  </si>
  <si>
    <t>大里線　　　    　　　（真境名経由）</t>
    <phoneticPr fontId="16"/>
  </si>
  <si>
    <t>下 10：32
上  7：25</t>
    <phoneticPr fontId="16"/>
  </si>
  <si>
    <t>下  5：40
上  6：29</t>
    <phoneticPr fontId="16"/>
  </si>
  <si>
    <t>下 21：30
上 22：22</t>
    <rPh sb="0" eb="1">
      <t>シタ</t>
    </rPh>
    <rPh sb="8" eb="9">
      <t>ウエ</t>
    </rPh>
    <phoneticPr fontId="10"/>
  </si>
  <si>
    <t>下１９本
上１９本</t>
    <rPh sb="0" eb="1">
      <t>シタ</t>
    </rPh>
    <rPh sb="3" eb="4">
      <t>ホン</t>
    </rPh>
    <rPh sb="5" eb="6">
      <t>ウエ</t>
    </rPh>
    <rPh sb="8" eb="9">
      <t>ホン</t>
    </rPh>
    <phoneticPr fontId="10"/>
  </si>
  <si>
    <t>下 17：38
上  7：00</t>
    <phoneticPr fontId="16"/>
  </si>
  <si>
    <t>（１）　自動車保有車両数の推移（Ｐ96参照）</t>
    <rPh sb="4" eb="7">
      <t>ジドウシャ</t>
    </rPh>
    <rPh sb="7" eb="9">
      <t>ホユウ</t>
    </rPh>
    <rPh sb="9" eb="11">
      <t>シャリョウ</t>
    </rPh>
    <rPh sb="11" eb="12">
      <t>ダイスウ</t>
    </rPh>
    <rPh sb="13" eb="15">
      <t>スイイ</t>
    </rPh>
    <rPh sb="19" eb="21">
      <t>サンショウ</t>
    </rPh>
    <phoneticPr fontId="2"/>
  </si>
  <si>
    <t>（２）　軽自動車保有台数の推移（Ｐ97参照）</t>
    <rPh sb="4" eb="8">
      <t>ケイジドウシャ</t>
    </rPh>
    <rPh sb="8" eb="10">
      <t>ホユウ</t>
    </rPh>
    <rPh sb="10" eb="12">
      <t>ダイスウ</t>
    </rPh>
    <rPh sb="13" eb="15">
      <t>スイイ</t>
    </rPh>
    <rPh sb="19" eb="21">
      <t>サンショウ</t>
    </rPh>
    <phoneticPr fontId="2"/>
  </si>
  <si>
    <t>おもろまち</t>
    <phoneticPr fontId="10"/>
  </si>
  <si>
    <t>おもろまち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</si>
</sst>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 * #,##0_ ;_ * \-#,##0_ ;_ * &quot;-&quot;_ ;_ @_ "/>
    <numFmt numFmtId="43" formatCode="_ * #,##0.00_ ;_ * \-#,##0.00_ ;_ * &quot;-&quot;??_ ;_ @_ "/>
    <numFmt numFmtId="176" formatCode="#,##0;[Red]#,##0"/>
    <numFmt numFmtId="177" formatCode="#,##0_);\(#,##0\)"/>
    <numFmt numFmtId="178" formatCode="#,##0.000_);\(#,##0.000\)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</numFmts>
  <fonts count="23">
    <font>
      <sz val="12"/>
      <name val="ＭＳ Ｐ明朝"/>
      <family val="1"/>
      <charset val="128"/>
    </font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2"/>
      <name val="ＤＦ平成ゴシック体W3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i/>
      <sz val="11"/>
      <name val="明朝"/>
      <family val="1"/>
      <charset val="128"/>
    </font>
    <font>
      <sz val="10"/>
      <name val="Arial"/>
      <family val="2"/>
    </font>
    <font>
      <sz val="10"/>
      <name val="MS Sans Serif"/>
      <family val="2"/>
    </font>
    <font>
      <sz val="14"/>
      <name val="ＭＳ Ｐ明朝"/>
      <family val="1"/>
      <charset val="128"/>
    </font>
    <font>
      <sz val="8"/>
      <name val="Arial"/>
      <family val="2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7"/>
      <name val="ＭＳ Ｐ明朝"/>
      <family val="1"/>
      <charset val="128"/>
    </font>
    <font>
      <sz val="6"/>
      <name val="ＭＳ Ｐゴシック"/>
      <family val="3"/>
      <charset val="128"/>
    </font>
    <font>
      <sz val="8"/>
      <name val="ＭＳ Ｐ明朝"/>
      <family val="1"/>
      <charset val="128"/>
    </font>
    <font>
      <sz val="10"/>
      <name val="ＭＳ 明朝"/>
      <family val="1"/>
      <charset val="128"/>
    </font>
    <font>
      <sz val="8.5"/>
      <name val="ＭＳ 明朝"/>
      <family val="1"/>
      <charset val="128"/>
    </font>
    <font>
      <sz val="8.5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7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38" fontId="1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80" fontId="9" fillId="0" borderId="0" applyFont="0" applyFill="0" applyBorder="0" applyAlignment="0" applyProtection="0"/>
    <xf numFmtId="0" fontId="10" fillId="0" borderId="0"/>
    <xf numFmtId="9" fontId="1" fillId="0" borderId="0" applyFont="0" applyFill="0" applyBorder="0" applyAlignment="0" applyProtection="0">
      <alignment vertical="center"/>
    </xf>
  </cellStyleXfs>
  <cellXfs count="168">
    <xf numFmtId="0" fontId="0" fillId="0" borderId="0" xfId="0"/>
    <xf numFmtId="0" fontId="0" fillId="0" borderId="0" xfId="0" applyFill="1"/>
    <xf numFmtId="176" fontId="4" fillId="0" borderId="0" xfId="1" applyNumberFormat="1" applyFont="1" applyFill="1" applyBorder="1" applyAlignment="1">
      <alignment vertical="center"/>
    </xf>
    <xf numFmtId="0" fontId="0" fillId="0" borderId="0" xfId="0" applyFill="1" applyAlignment="1">
      <alignment horizontal="right"/>
    </xf>
    <xf numFmtId="177" fontId="7" fillId="0" borderId="0" xfId="1" applyNumberFormat="1" applyFont="1" applyFill="1" applyBorder="1" applyAlignment="1">
      <alignment vertical="center"/>
    </xf>
    <xf numFmtId="177" fontId="5" fillId="0" borderId="2" xfId="1" applyNumberFormat="1" applyFont="1" applyFill="1" applyBorder="1" applyAlignment="1">
      <alignment vertical="center"/>
    </xf>
    <xf numFmtId="177" fontId="5" fillId="0" borderId="3" xfId="1" applyNumberFormat="1" applyFont="1" applyFill="1" applyBorder="1" applyAlignment="1">
      <alignment vertical="center"/>
    </xf>
    <xf numFmtId="177" fontId="1" fillId="0" borderId="6" xfId="1" applyNumberFormat="1" applyFont="1" applyFill="1" applyBorder="1" applyAlignment="1">
      <alignment vertical="center"/>
    </xf>
    <xf numFmtId="177" fontId="5" fillId="0" borderId="7" xfId="1" applyNumberFormat="1" applyFont="1" applyFill="1" applyBorder="1" applyAlignment="1">
      <alignment vertical="center"/>
    </xf>
    <xf numFmtId="177" fontId="1" fillId="0" borderId="10" xfId="1" applyNumberFormat="1" applyFont="1" applyFill="1" applyBorder="1" applyAlignment="1">
      <alignment vertical="center"/>
    </xf>
    <xf numFmtId="177" fontId="1" fillId="0" borderId="11" xfId="1" applyNumberFormat="1" applyFont="1" applyFill="1" applyBorder="1" applyAlignment="1">
      <alignment vertical="center"/>
    </xf>
    <xf numFmtId="177" fontId="5" fillId="0" borderId="11" xfId="1" applyNumberFormat="1" applyFont="1" applyFill="1" applyBorder="1" applyAlignment="1">
      <alignment vertical="center"/>
    </xf>
    <xf numFmtId="177" fontId="5" fillId="0" borderId="13" xfId="1" applyNumberFormat="1" applyFont="1" applyFill="1" applyBorder="1" applyAlignment="1">
      <alignment vertical="center"/>
    </xf>
    <xf numFmtId="177" fontId="5" fillId="0" borderId="14" xfId="1" applyNumberFormat="1" applyFont="1" applyFill="1" applyBorder="1" applyAlignment="1">
      <alignment vertical="center"/>
    </xf>
    <xf numFmtId="177" fontId="1" fillId="0" borderId="7" xfId="1" applyNumberFormat="1" applyFont="1" applyFill="1" applyBorder="1" applyAlignment="1">
      <alignment vertical="center"/>
    </xf>
    <xf numFmtId="177" fontId="5" fillId="0" borderId="1" xfId="1" applyNumberFormat="1" applyFont="1" applyFill="1" applyBorder="1" applyAlignment="1">
      <alignment vertical="center"/>
    </xf>
    <xf numFmtId="0" fontId="18" fillId="0" borderId="0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distributed" vertical="center" wrapText="1"/>
    </xf>
    <xf numFmtId="0" fontId="18" fillId="0" borderId="0" xfId="1" applyFont="1" applyFill="1" applyBorder="1" applyAlignment="1">
      <alignment horizontal="right" vertical="center" wrapText="1"/>
    </xf>
    <xf numFmtId="0" fontId="18" fillId="0" borderId="0" xfId="1" applyFont="1" applyFill="1" applyBorder="1" applyAlignment="1">
      <alignment vertical="center" wrapText="1"/>
    </xf>
    <xf numFmtId="0" fontId="13" fillId="0" borderId="0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horizontal="center" vertical="center"/>
    </xf>
    <xf numFmtId="0" fontId="19" fillId="0" borderId="2" xfId="1" applyFont="1" applyFill="1" applyBorder="1" applyAlignment="1">
      <alignment horizontal="center" vertical="center"/>
    </xf>
    <xf numFmtId="0" fontId="20" fillId="0" borderId="3" xfId="1" applyFont="1" applyFill="1" applyBorder="1" applyAlignment="1">
      <alignment horizontal="distributed" vertical="center" wrapText="1"/>
    </xf>
    <xf numFmtId="0" fontId="19" fillId="0" borderId="4" xfId="1" applyNumberFormat="1" applyFont="1" applyFill="1" applyBorder="1" applyAlignment="1">
      <alignment vertical="center" wrapText="1"/>
    </xf>
    <xf numFmtId="0" fontId="19" fillId="0" borderId="3" xfId="1" applyFont="1" applyFill="1" applyBorder="1" applyAlignment="1">
      <alignment vertical="center" wrapText="1"/>
    </xf>
    <xf numFmtId="0" fontId="20" fillId="0" borderId="3" xfId="1" applyFont="1" applyFill="1" applyBorder="1" applyAlignment="1">
      <alignment horizontal="center" vertical="center" wrapText="1"/>
    </xf>
    <xf numFmtId="0" fontId="19" fillId="0" borderId="3" xfId="1" applyFont="1" applyFill="1" applyBorder="1" applyAlignment="1">
      <alignment horizontal="center" vertical="center" wrapText="1" shrinkToFit="1"/>
    </xf>
    <xf numFmtId="0" fontId="19" fillId="0" borderId="5" xfId="1" applyFont="1" applyFill="1" applyBorder="1" applyAlignment="1">
      <alignment horizontal="center" vertical="center"/>
    </xf>
    <xf numFmtId="0" fontId="19" fillId="0" borderId="30" xfId="1" applyFont="1" applyFill="1" applyBorder="1" applyAlignment="1">
      <alignment horizontal="center" vertical="center"/>
    </xf>
    <xf numFmtId="0" fontId="20" fillId="0" borderId="1" xfId="1" applyFont="1" applyFill="1" applyBorder="1" applyAlignment="1">
      <alignment horizontal="distributed" vertical="center" wrapText="1"/>
    </xf>
    <xf numFmtId="0" fontId="19" fillId="0" borderId="40" xfId="1" applyNumberFormat="1" applyFont="1" applyFill="1" applyBorder="1" applyAlignment="1">
      <alignment vertical="center" wrapText="1"/>
    </xf>
    <xf numFmtId="0" fontId="19" fillId="0" borderId="1" xfId="1" applyFont="1" applyFill="1" applyBorder="1" applyAlignment="1">
      <alignment vertical="center" wrapText="1"/>
    </xf>
    <xf numFmtId="0" fontId="20" fillId="0" borderId="1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 shrinkToFit="1"/>
    </xf>
    <xf numFmtId="0" fontId="19" fillId="0" borderId="44" xfId="1" applyFont="1" applyFill="1" applyBorder="1" applyAlignment="1">
      <alignment horizontal="center" vertical="center"/>
    </xf>
    <xf numFmtId="0" fontId="19" fillId="0" borderId="30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shrinkToFit="1"/>
    </xf>
    <xf numFmtId="0" fontId="19" fillId="0" borderId="9" xfId="1" applyFont="1" applyFill="1" applyBorder="1" applyAlignment="1">
      <alignment horizontal="center" vertical="center"/>
    </xf>
    <xf numFmtId="0" fontId="19" fillId="0" borderId="10" xfId="1" applyFont="1" applyFill="1" applyBorder="1" applyAlignment="1">
      <alignment horizontal="center" vertical="center"/>
    </xf>
    <xf numFmtId="0" fontId="19" fillId="0" borderId="12" xfId="1" applyFont="1" applyFill="1" applyBorder="1" applyAlignment="1">
      <alignment vertical="center" wrapText="1"/>
    </xf>
    <xf numFmtId="0" fontId="19" fillId="0" borderId="11" xfId="1" applyFont="1" applyFill="1" applyBorder="1" applyAlignment="1">
      <alignment vertical="center" wrapText="1"/>
    </xf>
    <xf numFmtId="0" fontId="20" fillId="0" borderId="11" xfId="1" applyFont="1" applyFill="1" applyBorder="1" applyAlignment="1">
      <alignment horizontal="center" vertical="center" wrapText="1"/>
    </xf>
    <xf numFmtId="0" fontId="19" fillId="0" borderId="11" xfId="1" applyFont="1" applyFill="1" applyBorder="1" applyAlignment="1">
      <alignment horizontal="center" vertical="center"/>
    </xf>
    <xf numFmtId="0" fontId="20" fillId="0" borderId="11" xfId="1" applyFont="1" applyFill="1" applyBorder="1" applyAlignment="1">
      <alignment horizontal="distributed" vertical="center" wrapText="1"/>
    </xf>
    <xf numFmtId="0" fontId="19" fillId="0" borderId="17" xfId="1" applyFont="1" applyFill="1" applyBorder="1" applyAlignment="1">
      <alignment horizontal="center" vertical="center"/>
    </xf>
    <xf numFmtId="0" fontId="19" fillId="0" borderId="40" xfId="1" applyFont="1" applyFill="1" applyBorder="1" applyAlignment="1">
      <alignment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/>
    </xf>
    <xf numFmtId="0" fontId="19" fillId="0" borderId="1" xfId="1" applyFont="1" applyFill="1" applyBorder="1" applyAlignment="1">
      <alignment horizontal="centerContinuous" vertical="center"/>
    </xf>
    <xf numFmtId="0" fontId="1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horizontal="centerContinuous" vertical="center"/>
    </xf>
    <xf numFmtId="0" fontId="5" fillId="0" borderId="0" xfId="1" applyFont="1" applyFill="1" applyAlignment="1">
      <alignment horizontal="right" vertical="center"/>
    </xf>
    <xf numFmtId="0" fontId="13" fillId="0" borderId="23" xfId="1" applyFont="1" applyFill="1" applyBorder="1" applyAlignment="1">
      <alignment horizontal="right" vertical="center"/>
    </xf>
    <xf numFmtId="0" fontId="13" fillId="0" borderId="0" xfId="1" applyFont="1" applyFill="1" applyAlignment="1">
      <alignment vertical="center"/>
    </xf>
    <xf numFmtId="0" fontId="13" fillId="0" borderId="16" xfId="1" applyFont="1" applyFill="1" applyBorder="1" applyAlignment="1">
      <alignment vertical="center"/>
    </xf>
    <xf numFmtId="0" fontId="17" fillId="0" borderId="1" xfId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 shrinkToFit="1"/>
    </xf>
    <xf numFmtId="0" fontId="13" fillId="0" borderId="11" xfId="1" applyFont="1" applyFill="1" applyBorder="1" applyAlignment="1">
      <alignment horizontal="center" vertical="center"/>
    </xf>
    <xf numFmtId="0" fontId="13" fillId="0" borderId="7" xfId="1" applyFont="1" applyFill="1" applyBorder="1" applyAlignment="1">
      <alignment horizontal="center" vertical="center"/>
    </xf>
    <xf numFmtId="0" fontId="13" fillId="0" borderId="14" xfId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vertical="center"/>
    </xf>
    <xf numFmtId="0" fontId="5" fillId="0" borderId="12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right" vertical="center"/>
    </xf>
    <xf numFmtId="0" fontId="11" fillId="0" borderId="0" xfId="1" applyFont="1" applyFill="1" applyAlignment="1">
      <alignment vertical="center"/>
    </xf>
    <xf numFmtId="0" fontId="5" fillId="0" borderId="43" xfId="1" applyFont="1" applyFill="1" applyBorder="1" applyAlignment="1">
      <alignment vertical="center"/>
    </xf>
    <xf numFmtId="0" fontId="5" fillId="0" borderId="24" xfId="1" applyFont="1" applyFill="1" applyBorder="1" applyAlignment="1">
      <alignment vertical="center"/>
    </xf>
    <xf numFmtId="0" fontId="13" fillId="0" borderId="24" xfId="1" applyFont="1" applyFill="1" applyBorder="1" applyAlignment="1">
      <alignment horizontal="right" vertical="center"/>
    </xf>
    <xf numFmtId="0" fontId="5" fillId="0" borderId="42" xfId="1" applyFont="1" applyFill="1" applyBorder="1" applyAlignment="1">
      <alignment vertical="center"/>
    </xf>
    <xf numFmtId="0" fontId="5" fillId="0" borderId="39" xfId="1" applyFont="1" applyFill="1" applyBorder="1" applyAlignment="1">
      <alignment vertical="center"/>
    </xf>
    <xf numFmtId="0" fontId="5" fillId="0" borderId="41" xfId="1" applyFont="1" applyFill="1" applyBorder="1" applyAlignment="1">
      <alignment horizontal="right" vertical="center"/>
    </xf>
    <xf numFmtId="0" fontId="13" fillId="0" borderId="38" xfId="1" applyFont="1" applyFill="1" applyBorder="1" applyAlignment="1">
      <alignment vertical="center"/>
    </xf>
    <xf numFmtId="0" fontId="5" fillId="0" borderId="38" xfId="1" applyFont="1" applyFill="1" applyBorder="1" applyAlignment="1">
      <alignment vertical="center"/>
    </xf>
    <xf numFmtId="0" fontId="5" fillId="0" borderId="37" xfId="1" applyFont="1" applyFill="1" applyBorder="1" applyAlignment="1">
      <alignment vertical="center"/>
    </xf>
    <xf numFmtId="0" fontId="13" fillId="0" borderId="1" xfId="1" applyFont="1" applyFill="1" applyBorder="1" applyAlignment="1">
      <alignment horizontal="center" vertical="center"/>
    </xf>
    <xf numFmtId="0" fontId="5" fillId="0" borderId="35" xfId="1" applyFont="1" applyFill="1" applyBorder="1" applyAlignment="1">
      <alignment vertical="center"/>
    </xf>
    <xf numFmtId="0" fontId="5" fillId="0" borderId="34" xfId="1" applyFont="1" applyFill="1" applyBorder="1" applyAlignment="1">
      <alignment horizontal="right" vertical="center"/>
    </xf>
    <xf numFmtId="177" fontId="5" fillId="0" borderId="30" xfId="1" applyNumberFormat="1" applyFont="1" applyFill="1" applyBorder="1" applyAlignment="1">
      <alignment vertical="center"/>
    </xf>
    <xf numFmtId="0" fontId="5" fillId="0" borderId="34" xfId="1" applyFont="1" applyFill="1" applyBorder="1" applyAlignment="1">
      <alignment vertical="center"/>
    </xf>
    <xf numFmtId="0" fontId="5" fillId="0" borderId="33" xfId="1" applyFont="1" applyFill="1" applyBorder="1" applyAlignment="1">
      <alignment vertical="center"/>
    </xf>
    <xf numFmtId="0" fontId="5" fillId="0" borderId="31" xfId="1" applyFont="1" applyFill="1" applyBorder="1" applyAlignment="1">
      <alignment vertical="center"/>
    </xf>
    <xf numFmtId="0" fontId="5" fillId="0" borderId="29" xfId="1" applyFont="1" applyFill="1" applyBorder="1" applyAlignment="1">
      <alignment vertical="center"/>
    </xf>
    <xf numFmtId="0" fontId="5" fillId="0" borderId="27" xfId="1" applyFont="1" applyFill="1" applyBorder="1" applyAlignment="1">
      <alignment vertical="center"/>
    </xf>
    <xf numFmtId="177" fontId="5" fillId="0" borderId="26" xfId="1" applyNumberFormat="1" applyFont="1" applyFill="1" applyBorder="1" applyAlignment="1">
      <alignment vertical="center"/>
    </xf>
    <xf numFmtId="177" fontId="5" fillId="0" borderId="25" xfId="1" applyNumberFormat="1" applyFont="1" applyFill="1" applyBorder="1" applyAlignment="1">
      <alignment vertical="center"/>
    </xf>
    <xf numFmtId="177" fontId="5" fillId="0" borderId="0" xfId="1" applyNumberFormat="1" applyFont="1" applyFill="1" applyBorder="1" applyAlignment="1">
      <alignment vertical="center"/>
    </xf>
    <xf numFmtId="0" fontId="5" fillId="0" borderId="0" xfId="1" applyFont="1" applyFill="1" applyAlignment="1">
      <alignment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distributed" vertical="center"/>
    </xf>
    <xf numFmtId="0" fontId="4" fillId="0" borderId="49" xfId="1" applyFont="1" applyFill="1" applyBorder="1" applyAlignment="1">
      <alignment horizontal="right" vertical="center"/>
    </xf>
    <xf numFmtId="0" fontId="19" fillId="0" borderId="48" xfId="1" applyFont="1" applyFill="1" applyBorder="1" applyAlignment="1">
      <alignment horizontal="center" vertical="center" wrapText="1"/>
    </xf>
    <xf numFmtId="0" fontId="20" fillId="0" borderId="46" xfId="1" applyFont="1" applyFill="1" applyBorder="1" applyAlignment="1">
      <alignment horizontal="center" vertical="center" wrapText="1"/>
    </xf>
    <xf numFmtId="0" fontId="19" fillId="0" borderId="46" xfId="1" applyFont="1" applyFill="1" applyBorder="1" applyAlignment="1">
      <alignment horizontal="center" vertical="center"/>
    </xf>
    <xf numFmtId="0" fontId="19" fillId="0" borderId="46" xfId="1" applyFont="1" applyFill="1" applyBorder="1" applyAlignment="1">
      <alignment horizontal="center" vertical="center" wrapText="1"/>
    </xf>
    <xf numFmtId="0" fontId="19" fillId="0" borderId="47" xfId="1" applyFont="1" applyFill="1" applyBorder="1" applyAlignment="1">
      <alignment horizontal="center" vertical="center"/>
    </xf>
    <xf numFmtId="0" fontId="20" fillId="0" borderId="46" xfId="1" applyFont="1" applyFill="1" applyBorder="1" applyAlignment="1">
      <alignment horizontal="distributed" vertical="center" wrapText="1"/>
    </xf>
    <xf numFmtId="0" fontId="19" fillId="0" borderId="45" xfId="1" applyFont="1" applyFill="1" applyBorder="1" applyAlignment="1">
      <alignment horizontal="center" vertical="center"/>
    </xf>
    <xf numFmtId="0" fontId="4" fillId="0" borderId="39" xfId="1" applyFont="1" applyFill="1" applyBorder="1" applyAlignment="1">
      <alignment vertical="center"/>
    </xf>
    <xf numFmtId="0" fontId="20" fillId="0" borderId="39" xfId="1" applyFont="1" applyFill="1" applyBorder="1" applyAlignment="1">
      <alignment horizontal="distributed" vertical="center" wrapText="1"/>
    </xf>
    <xf numFmtId="0" fontId="20" fillId="0" borderId="0" xfId="1" applyFont="1" applyFill="1" applyBorder="1" applyAlignment="1">
      <alignment horizontal="distributed" vertical="center" wrapText="1"/>
    </xf>
    <xf numFmtId="20" fontId="4" fillId="0" borderId="0" xfId="1" applyNumberFormat="1" applyFont="1" applyFill="1" applyAlignment="1">
      <alignment vertical="center"/>
    </xf>
    <xf numFmtId="20" fontId="19" fillId="0" borderId="8" xfId="1" applyNumberFormat="1" applyFont="1" applyFill="1" applyBorder="1" applyAlignment="1">
      <alignment horizontal="right" vertical="center" wrapText="1"/>
    </xf>
    <xf numFmtId="0" fontId="19" fillId="0" borderId="16" xfId="1" applyFont="1" applyFill="1" applyBorder="1" applyAlignment="1">
      <alignment horizontal="center" vertical="center"/>
    </xf>
    <xf numFmtId="0" fontId="20" fillId="0" borderId="14" xfId="1" applyFont="1" applyFill="1" applyBorder="1" applyAlignment="1">
      <alignment horizontal="distributed" vertical="center" wrapText="1"/>
    </xf>
    <xf numFmtId="0" fontId="19" fillId="0" borderId="14" xfId="1" applyFont="1" applyFill="1" applyBorder="1" applyAlignment="1">
      <alignment horizontal="center" vertical="center" wrapText="1"/>
    </xf>
    <xf numFmtId="0" fontId="19" fillId="0" borderId="14" xfId="1" applyFont="1" applyFill="1" applyBorder="1" applyAlignment="1">
      <alignment vertical="center" wrapText="1"/>
    </xf>
    <xf numFmtId="0" fontId="19" fillId="0" borderId="14" xfId="1" applyNumberFormat="1" applyFont="1" applyFill="1" applyBorder="1" applyAlignment="1">
      <alignment vertical="center" wrapText="1"/>
    </xf>
    <xf numFmtId="20" fontId="19" fillId="0" borderId="15" xfId="1" applyNumberFormat="1" applyFont="1" applyFill="1" applyBorder="1" applyAlignment="1">
      <alignment vertical="center" wrapText="1"/>
    </xf>
    <xf numFmtId="0" fontId="19" fillId="0" borderId="13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vertical="center" wrapText="1"/>
    </xf>
    <xf numFmtId="0" fontId="22" fillId="0" borderId="1" xfId="1" applyFont="1" applyFill="1" applyBorder="1" applyAlignment="1">
      <alignment vertical="center" wrapText="1"/>
    </xf>
    <xf numFmtId="0" fontId="5" fillId="0" borderId="17" xfId="1" applyFont="1" applyFill="1" applyBorder="1" applyAlignment="1">
      <alignment horizontal="right" vertical="center"/>
    </xf>
    <xf numFmtId="0" fontId="3" fillId="0" borderId="9" xfId="1" applyFill="1" applyBorder="1" applyAlignment="1">
      <alignment horizontal="right" vertical="center"/>
    </xf>
    <xf numFmtId="0" fontId="3" fillId="0" borderId="16" xfId="1" applyFill="1" applyBorder="1" applyAlignment="1">
      <alignment horizontal="right" vertical="center"/>
    </xf>
    <xf numFmtId="0" fontId="13" fillId="0" borderId="19" xfId="1" applyFont="1" applyFill="1" applyBorder="1" applyAlignment="1">
      <alignment horizontal="center" vertical="center"/>
    </xf>
    <xf numFmtId="0" fontId="13" fillId="0" borderId="14" xfId="1" applyFont="1" applyFill="1" applyBorder="1" applyAlignment="1">
      <alignment horizontal="center" vertical="center"/>
    </xf>
    <xf numFmtId="0" fontId="13" fillId="0" borderId="22" xfId="1" applyFont="1" applyFill="1" applyBorder="1" applyAlignment="1">
      <alignment horizontal="center" vertical="center"/>
    </xf>
    <xf numFmtId="0" fontId="13" fillId="0" borderId="21" xfId="1" applyFont="1" applyFill="1" applyBorder="1" applyAlignment="1">
      <alignment horizontal="center" vertical="center"/>
    </xf>
    <xf numFmtId="0" fontId="13" fillId="0" borderId="20" xfId="1" applyFont="1" applyFill="1" applyBorder="1" applyAlignment="1">
      <alignment horizontal="center" vertical="center"/>
    </xf>
    <xf numFmtId="0" fontId="14" fillId="0" borderId="19" xfId="1" applyFont="1" applyFill="1" applyBorder="1" applyAlignment="1">
      <alignment horizontal="center" vertical="center" wrapText="1"/>
    </xf>
    <xf numFmtId="0" fontId="14" fillId="0" borderId="14" xfId="1" applyFont="1" applyFill="1" applyBorder="1" applyAlignment="1">
      <alignment horizontal="center" vertical="center" wrapText="1"/>
    </xf>
    <xf numFmtId="0" fontId="14" fillId="0" borderId="18" xfId="1" applyFont="1" applyFill="1" applyBorder="1" applyAlignment="1">
      <alignment horizontal="center" vertical="center" wrapText="1"/>
    </xf>
    <xf numFmtId="0" fontId="14" fillId="0" borderId="13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right" vertical="center"/>
    </xf>
    <xf numFmtId="0" fontId="3" fillId="0" borderId="5" xfId="1" applyFill="1" applyBorder="1" applyAlignment="1">
      <alignment horizontal="right" vertical="center"/>
    </xf>
    <xf numFmtId="0" fontId="18" fillId="0" borderId="22" xfId="1" applyFont="1" applyFill="1" applyBorder="1" applyAlignment="1">
      <alignment horizontal="center" vertical="center"/>
    </xf>
    <xf numFmtId="0" fontId="18" fillId="0" borderId="21" xfId="1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18" fillId="0" borderId="20" xfId="1" applyFont="1" applyFill="1" applyBorder="1" applyAlignment="1">
      <alignment horizontal="center" vertical="center"/>
    </xf>
    <xf numFmtId="0" fontId="13" fillId="0" borderId="18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/>
    </xf>
    <xf numFmtId="0" fontId="13" fillId="0" borderId="13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13" fillId="0" borderId="1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right" vertical="center"/>
    </xf>
    <xf numFmtId="0" fontId="18" fillId="0" borderId="40" xfId="1" applyFont="1" applyFill="1" applyBorder="1" applyAlignment="1">
      <alignment horizontal="distributed" vertical="center" justifyLastLine="1"/>
    </xf>
    <xf numFmtId="0" fontId="18" fillId="0" borderId="34" xfId="1" applyFont="1" applyFill="1" applyBorder="1" applyAlignment="1">
      <alignment horizontal="distributed" vertical="center" justifyLastLine="1"/>
    </xf>
    <xf numFmtId="0" fontId="18" fillId="0" borderId="11" xfId="1" applyFont="1" applyFill="1" applyBorder="1" applyAlignment="1">
      <alignment horizontal="center" vertical="center" wrapText="1"/>
    </xf>
    <xf numFmtId="0" fontId="18" fillId="0" borderId="14" xfId="1" applyFont="1" applyFill="1" applyBorder="1" applyAlignment="1">
      <alignment horizontal="center" vertical="center" wrapText="1"/>
    </xf>
    <xf numFmtId="0" fontId="5" fillId="0" borderId="32" xfId="1" applyFont="1" applyFill="1" applyBorder="1" applyAlignment="1">
      <alignment horizontal="distributed" vertical="center"/>
    </xf>
    <xf numFmtId="0" fontId="3" fillId="0" borderId="32" xfId="1" applyFill="1" applyBorder="1" applyAlignment="1">
      <alignment horizontal="distributed" vertical="center"/>
    </xf>
    <xf numFmtId="0" fontId="4" fillId="0" borderId="32" xfId="1" applyFont="1" applyFill="1" applyBorder="1" applyAlignment="1">
      <alignment horizontal="center" vertical="center"/>
    </xf>
    <xf numFmtId="0" fontId="0" fillId="0" borderId="32" xfId="0" applyFill="1" applyBorder="1"/>
    <xf numFmtId="0" fontId="0" fillId="0" borderId="36" xfId="0" applyFill="1" applyBorder="1"/>
    <xf numFmtId="0" fontId="0" fillId="0" borderId="32" xfId="0" applyFill="1" applyBorder="1" applyAlignment="1">
      <alignment horizontal="distributed" vertical="center"/>
    </xf>
    <xf numFmtId="0" fontId="5" fillId="0" borderId="28" xfId="1" applyFont="1" applyFill="1" applyBorder="1" applyAlignment="1">
      <alignment horizontal="distributed" vertical="center"/>
    </xf>
    <xf numFmtId="0" fontId="3" fillId="0" borderId="28" xfId="1" applyFill="1" applyBorder="1" applyAlignment="1">
      <alignment horizontal="distributed" vertical="center"/>
    </xf>
    <xf numFmtId="0" fontId="18" fillId="0" borderId="0" xfId="1" applyFont="1" applyFill="1" applyBorder="1" applyAlignment="1">
      <alignment horizontal="right" vertical="center" wrapText="1"/>
    </xf>
    <xf numFmtId="0" fontId="0" fillId="0" borderId="50" xfId="0" applyFill="1" applyBorder="1"/>
    <xf numFmtId="0" fontId="0" fillId="0" borderId="50" xfId="0" applyFill="1" applyBorder="1" applyAlignment="1">
      <alignment horizontal="center"/>
    </xf>
    <xf numFmtId="0" fontId="0" fillId="0" borderId="50" xfId="0" applyFill="1" applyBorder="1" applyAlignment="1">
      <alignment horizontal="right"/>
    </xf>
    <xf numFmtId="177" fontId="5" fillId="0" borderId="50" xfId="1" applyNumberFormat="1" applyFont="1" applyFill="1" applyBorder="1" applyAlignment="1">
      <alignment vertical="center"/>
    </xf>
    <xf numFmtId="177" fontId="0" fillId="0" borderId="50" xfId="0" applyNumberFormat="1" applyFill="1" applyBorder="1"/>
    <xf numFmtId="178" fontId="5" fillId="0" borderId="0" xfId="1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/>
    </xf>
    <xf numFmtId="0" fontId="6" fillId="0" borderId="50" xfId="0" applyFont="1" applyFill="1" applyBorder="1"/>
    <xf numFmtId="38" fontId="0" fillId="0" borderId="50" xfId="2" applyFont="1" applyFill="1" applyBorder="1" applyAlignment="1"/>
  </cellXfs>
  <cellStyles count="10">
    <cellStyle name="=E:\WINNT\SYSTEM32\COMMAND.COM" xfId="3"/>
    <cellStyle name="Comma [0]_Full Year FY96" xfId="4"/>
    <cellStyle name="Comma_Full Year FY96" xfId="5"/>
    <cellStyle name="Currency [0]_Full Year FY96" xfId="6"/>
    <cellStyle name="Currency_Full Year FY96" xfId="7"/>
    <cellStyle name="Normal_Assumptions" xfId="8"/>
    <cellStyle name="パーセント 2" xfId="9"/>
    <cellStyle name="桁区切り 2" xfId="2"/>
    <cellStyle name="標準" xfId="0" builtinId="0"/>
    <cellStyle name="標準_５０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232339732306834E-2"/>
          <c:y val="0.12526565250475322"/>
          <c:w val="0.95173594182448062"/>
          <c:h val="0.8152883146072075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'95'!$L$17</c:f>
              <c:strCache>
                <c:ptCount val="1"/>
                <c:pt idx="0">
                  <c:v>原動機付自転車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'95'!$K$18:$K$27</c:f>
              <c:strCache>
                <c:ptCount val="10"/>
                <c:pt idx="0">
                  <c:v>平成21年</c:v>
                </c:pt>
                <c:pt idx="1">
                  <c:v>平成22年</c:v>
                </c:pt>
                <c:pt idx="2">
                  <c:v>平成23年</c:v>
                </c:pt>
                <c:pt idx="3">
                  <c:v>平成24年</c:v>
                </c:pt>
                <c:pt idx="4">
                  <c:v>平成25年</c:v>
                </c:pt>
                <c:pt idx="5">
                  <c:v>平成26年</c:v>
                </c:pt>
                <c:pt idx="6">
                  <c:v>平成27年</c:v>
                </c:pt>
                <c:pt idx="7">
                  <c:v>平成28年</c:v>
                </c:pt>
                <c:pt idx="8">
                  <c:v>平成29年</c:v>
                </c:pt>
                <c:pt idx="9">
                  <c:v>平成30年</c:v>
                </c:pt>
              </c:strCache>
            </c:strRef>
          </c:cat>
          <c:val>
            <c:numRef>
              <c:f>'95'!$L$18:$L$27</c:f>
              <c:numCache>
                <c:formatCode>#,##0_);\(#,##0\)</c:formatCode>
                <c:ptCount val="10"/>
                <c:pt idx="0">
                  <c:v>3850</c:v>
                </c:pt>
                <c:pt idx="1">
                  <c:v>3879</c:v>
                </c:pt>
                <c:pt idx="2">
                  <c:v>3838</c:v>
                </c:pt>
                <c:pt idx="3">
                  <c:v>3881</c:v>
                </c:pt>
                <c:pt idx="4">
                  <c:v>3882</c:v>
                </c:pt>
                <c:pt idx="5">
                  <c:v>3888</c:v>
                </c:pt>
                <c:pt idx="6">
                  <c:v>3933</c:v>
                </c:pt>
                <c:pt idx="7">
                  <c:v>3845</c:v>
                </c:pt>
                <c:pt idx="8">
                  <c:v>3782</c:v>
                </c:pt>
                <c:pt idx="9">
                  <c:v>3736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9E-49FE-96C9-7DD84E91F6F8}"/>
            </c:ext>
          </c:extLst>
        </c:ser>
        <c:ser>
          <c:idx val="1"/>
          <c:order val="1"/>
          <c:tx>
            <c:strRef>
              <c:f>'95'!$M$17</c:f>
              <c:strCache>
                <c:ptCount val="1"/>
                <c:pt idx="0">
                  <c:v>小型特殊自動車</c:v>
                </c:pt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'95'!$K$18:$K$27</c:f>
              <c:strCache>
                <c:ptCount val="10"/>
                <c:pt idx="0">
                  <c:v>平成21年</c:v>
                </c:pt>
                <c:pt idx="1">
                  <c:v>平成22年</c:v>
                </c:pt>
                <c:pt idx="2">
                  <c:v>平成23年</c:v>
                </c:pt>
                <c:pt idx="3">
                  <c:v>平成24年</c:v>
                </c:pt>
                <c:pt idx="4">
                  <c:v>平成25年</c:v>
                </c:pt>
                <c:pt idx="5">
                  <c:v>平成26年</c:v>
                </c:pt>
                <c:pt idx="6">
                  <c:v>平成27年</c:v>
                </c:pt>
                <c:pt idx="7">
                  <c:v>平成28年</c:v>
                </c:pt>
                <c:pt idx="8">
                  <c:v>平成29年</c:v>
                </c:pt>
                <c:pt idx="9">
                  <c:v>平成30年</c:v>
                </c:pt>
              </c:strCache>
            </c:strRef>
          </c:cat>
          <c:val>
            <c:numRef>
              <c:f>'95'!$M$18:$M$27</c:f>
              <c:numCache>
                <c:formatCode>#,##0_);\(#,##0\)</c:formatCode>
                <c:ptCount val="10"/>
                <c:pt idx="0">
                  <c:v>81</c:v>
                </c:pt>
                <c:pt idx="1">
                  <c:v>84</c:v>
                </c:pt>
                <c:pt idx="2">
                  <c:v>84</c:v>
                </c:pt>
                <c:pt idx="3">
                  <c:v>83</c:v>
                </c:pt>
                <c:pt idx="4">
                  <c:v>83</c:v>
                </c:pt>
                <c:pt idx="5">
                  <c:v>85</c:v>
                </c:pt>
                <c:pt idx="6">
                  <c:v>85</c:v>
                </c:pt>
                <c:pt idx="7">
                  <c:v>88</c:v>
                </c:pt>
                <c:pt idx="8">
                  <c:v>86</c:v>
                </c:pt>
                <c:pt idx="9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9E-49FE-96C9-7DD84E91F6F8}"/>
            </c:ext>
          </c:extLst>
        </c:ser>
        <c:ser>
          <c:idx val="2"/>
          <c:order val="2"/>
          <c:tx>
            <c:strRef>
              <c:f>'95'!$N$17</c:f>
              <c:strCache>
                <c:ptCount val="1"/>
                <c:pt idx="0">
                  <c:v>軽自動車</c:v>
                </c:pt>
              </c:strCache>
            </c:strRef>
          </c:tx>
          <c:spPr>
            <a:pattFill prst="smConfetti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</c:spPr>
            <c:txPr>
              <a:bodyPr/>
              <a:lstStyle/>
              <a:p>
                <a:pPr>
                  <a:defRPr sz="9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'95'!$K$18:$K$27</c:f>
              <c:strCache>
                <c:ptCount val="10"/>
                <c:pt idx="0">
                  <c:v>平成21年</c:v>
                </c:pt>
                <c:pt idx="1">
                  <c:v>平成22年</c:v>
                </c:pt>
                <c:pt idx="2">
                  <c:v>平成23年</c:v>
                </c:pt>
                <c:pt idx="3">
                  <c:v>平成24年</c:v>
                </c:pt>
                <c:pt idx="4">
                  <c:v>平成25年</c:v>
                </c:pt>
                <c:pt idx="5">
                  <c:v>平成26年</c:v>
                </c:pt>
                <c:pt idx="6">
                  <c:v>平成27年</c:v>
                </c:pt>
                <c:pt idx="7">
                  <c:v>平成28年</c:v>
                </c:pt>
                <c:pt idx="8">
                  <c:v>平成29年</c:v>
                </c:pt>
                <c:pt idx="9">
                  <c:v>平成30年</c:v>
                </c:pt>
              </c:strCache>
            </c:strRef>
          </c:cat>
          <c:val>
            <c:numRef>
              <c:f>'95'!$N$18:$N$27</c:f>
              <c:numCache>
                <c:formatCode>#,##0_);\(#,##0\)</c:formatCode>
                <c:ptCount val="10"/>
                <c:pt idx="0">
                  <c:v>13246</c:v>
                </c:pt>
                <c:pt idx="1">
                  <c:v>13768</c:v>
                </c:pt>
                <c:pt idx="2">
                  <c:v>14341</c:v>
                </c:pt>
                <c:pt idx="3">
                  <c:v>14636</c:v>
                </c:pt>
                <c:pt idx="4">
                  <c:v>14987</c:v>
                </c:pt>
                <c:pt idx="5">
                  <c:v>15406</c:v>
                </c:pt>
                <c:pt idx="6">
                  <c:v>15785</c:v>
                </c:pt>
                <c:pt idx="7">
                  <c:v>16085</c:v>
                </c:pt>
                <c:pt idx="8">
                  <c:v>16315</c:v>
                </c:pt>
                <c:pt idx="9">
                  <c:v>16675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9E-49FE-96C9-7DD84E91F6F8}"/>
            </c:ext>
          </c:extLst>
        </c:ser>
        <c:ser>
          <c:idx val="3"/>
          <c:order val="3"/>
          <c:spPr>
            <a:noFill/>
            <a:ln w="25400">
              <a:noFill/>
            </a:ln>
          </c:spPr>
          <c:invertIfNegative val="0"/>
          <c:dLbls>
            <c:dLbl>
              <c:idx val="3"/>
              <c:layout>
                <c:manualLayout>
                  <c:x val="-2.7304505488850118E-3"/>
                  <c:y val="0.2204285073403152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99E-49FE-96C9-7DD84E91F6F8}"/>
                </c:ext>
              </c:extLst>
            </c:dLbl>
            <c:numFmt formatCode="#,##0_);\(#,##0\)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'95'!$K$18:$K$27</c:f>
              <c:strCache>
                <c:ptCount val="10"/>
                <c:pt idx="0">
                  <c:v>平成21年</c:v>
                </c:pt>
                <c:pt idx="1">
                  <c:v>平成22年</c:v>
                </c:pt>
                <c:pt idx="2">
                  <c:v>平成23年</c:v>
                </c:pt>
                <c:pt idx="3">
                  <c:v>平成24年</c:v>
                </c:pt>
                <c:pt idx="4">
                  <c:v>平成25年</c:v>
                </c:pt>
                <c:pt idx="5">
                  <c:v>平成26年</c:v>
                </c:pt>
                <c:pt idx="6">
                  <c:v>平成27年</c:v>
                </c:pt>
                <c:pt idx="7">
                  <c:v>平成28年</c:v>
                </c:pt>
                <c:pt idx="8">
                  <c:v>平成29年</c:v>
                </c:pt>
                <c:pt idx="9">
                  <c:v>平成30年</c:v>
                </c:pt>
              </c:strCache>
            </c:strRef>
          </c:cat>
          <c:val>
            <c:numRef>
              <c:f>'95'!$O$18:$O$27</c:f>
              <c:numCache>
                <c:formatCode>#,##0_);[Red]\(#,##0\)</c:formatCode>
                <c:ptCount val="10"/>
                <c:pt idx="0">
                  <c:v>17177</c:v>
                </c:pt>
                <c:pt idx="1">
                  <c:v>17731</c:v>
                </c:pt>
                <c:pt idx="2">
                  <c:v>18263</c:v>
                </c:pt>
                <c:pt idx="3">
                  <c:v>18600</c:v>
                </c:pt>
                <c:pt idx="4">
                  <c:v>18952</c:v>
                </c:pt>
                <c:pt idx="5">
                  <c:v>19379</c:v>
                </c:pt>
                <c:pt idx="6">
                  <c:v>19803</c:v>
                </c:pt>
                <c:pt idx="7">
                  <c:v>20018</c:v>
                </c:pt>
                <c:pt idx="8">
                  <c:v>20183</c:v>
                </c:pt>
                <c:pt idx="9">
                  <c:v>20495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99E-49FE-96C9-7DD84E91F6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99581952"/>
        <c:axId val="99583488"/>
      </c:barChart>
      <c:catAx>
        <c:axId val="99581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958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583488"/>
        <c:scaling>
          <c:orientation val="minMax"/>
          <c:max val="30000"/>
        </c:scaling>
        <c:delete val="0"/>
        <c:axPos val="l"/>
        <c:numFmt formatCode="#,##0_);\(#,##0\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9581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975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259344993265316E-2"/>
          <c:y val="5.2224420696722292E-2"/>
          <c:w val="0.91111242927144709"/>
          <c:h val="0.8878151518442785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'95'!$L$1</c:f>
              <c:strCache>
                <c:ptCount val="1"/>
                <c:pt idx="0">
                  <c:v>乗用車</c:v>
                </c:pt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</c:spPr>
            <c:txPr>
              <a:bodyPr/>
              <a:lstStyle/>
              <a:p>
                <a:pPr>
                  <a:defRPr sz="9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'95'!$K$3:$K$11</c:f>
              <c:strCache>
                <c:ptCount val="9"/>
                <c:pt idx="0">
                  <c:v>平成21年</c:v>
                </c:pt>
                <c:pt idx="1">
                  <c:v>平成22年</c:v>
                </c:pt>
                <c:pt idx="2">
                  <c:v>平成23年</c:v>
                </c:pt>
                <c:pt idx="3">
                  <c:v>平成24年</c:v>
                </c:pt>
                <c:pt idx="4">
                  <c:v>平成25年</c:v>
                </c:pt>
                <c:pt idx="5">
                  <c:v>平成26年</c:v>
                </c:pt>
                <c:pt idx="6">
                  <c:v>平成27年</c:v>
                </c:pt>
                <c:pt idx="7">
                  <c:v>平成28年</c:v>
                </c:pt>
                <c:pt idx="8">
                  <c:v>平成29年</c:v>
                </c:pt>
              </c:strCache>
            </c:strRef>
          </c:cat>
          <c:val>
            <c:numRef>
              <c:f>'95'!$L$3:$L$11</c:f>
              <c:numCache>
                <c:formatCode>#,##0_);\(#,##0\)</c:formatCode>
                <c:ptCount val="9"/>
                <c:pt idx="0">
                  <c:v>7611</c:v>
                </c:pt>
                <c:pt idx="1">
                  <c:v>7539</c:v>
                </c:pt>
                <c:pt idx="2">
                  <c:v>7600</c:v>
                </c:pt>
                <c:pt idx="3">
                  <c:v>7629</c:v>
                </c:pt>
                <c:pt idx="4">
                  <c:v>7782</c:v>
                </c:pt>
                <c:pt idx="5">
                  <c:v>8129</c:v>
                </c:pt>
                <c:pt idx="6">
                  <c:v>8086</c:v>
                </c:pt>
                <c:pt idx="7">
                  <c:v>8294</c:v>
                </c:pt>
                <c:pt idx="8">
                  <c:v>9042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23-4ABB-A5C0-6BF4E629F429}"/>
            </c:ext>
          </c:extLst>
        </c:ser>
        <c:ser>
          <c:idx val="1"/>
          <c:order val="1"/>
          <c:tx>
            <c:strRef>
              <c:f>'95'!$M$1</c:f>
              <c:strCache>
                <c:ptCount val="1"/>
                <c:pt idx="0">
                  <c:v>貨物車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</c:spPr>
            <c:txPr>
              <a:bodyPr/>
              <a:lstStyle/>
              <a:p>
                <a:pPr>
                  <a:defRPr sz="10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'95'!$K$3:$K$11</c:f>
              <c:strCache>
                <c:ptCount val="9"/>
                <c:pt idx="0">
                  <c:v>平成21年</c:v>
                </c:pt>
                <c:pt idx="1">
                  <c:v>平成22年</c:v>
                </c:pt>
                <c:pt idx="2">
                  <c:v>平成23年</c:v>
                </c:pt>
                <c:pt idx="3">
                  <c:v>平成24年</c:v>
                </c:pt>
                <c:pt idx="4">
                  <c:v>平成25年</c:v>
                </c:pt>
                <c:pt idx="5">
                  <c:v>平成26年</c:v>
                </c:pt>
                <c:pt idx="6">
                  <c:v>平成27年</c:v>
                </c:pt>
                <c:pt idx="7">
                  <c:v>平成28年</c:v>
                </c:pt>
                <c:pt idx="8">
                  <c:v>平成29年</c:v>
                </c:pt>
              </c:strCache>
            </c:strRef>
          </c:cat>
          <c:val>
            <c:numRef>
              <c:f>'95'!$M$3:$M$11</c:f>
              <c:numCache>
                <c:formatCode>#,##0_);\(#,##0\)</c:formatCode>
                <c:ptCount val="9"/>
                <c:pt idx="0">
                  <c:v>1664</c:v>
                </c:pt>
                <c:pt idx="1">
                  <c:v>1622</c:v>
                </c:pt>
                <c:pt idx="2">
                  <c:v>1613</c:v>
                </c:pt>
                <c:pt idx="3">
                  <c:v>1531</c:v>
                </c:pt>
                <c:pt idx="4">
                  <c:v>1544</c:v>
                </c:pt>
                <c:pt idx="5">
                  <c:v>1517</c:v>
                </c:pt>
                <c:pt idx="6">
                  <c:v>1590</c:v>
                </c:pt>
                <c:pt idx="7">
                  <c:v>1600</c:v>
                </c:pt>
                <c:pt idx="8">
                  <c:v>1611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23-4ABB-A5C0-6BF4E629F429}"/>
            </c:ext>
          </c:extLst>
        </c:ser>
        <c:ser>
          <c:idx val="2"/>
          <c:order val="2"/>
          <c:tx>
            <c:strRef>
              <c:f>'95'!$N$1</c:f>
              <c:strCache>
                <c:ptCount val="1"/>
                <c:pt idx="0">
                  <c:v>特種（殊）車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'95'!$K$3:$K$11</c:f>
              <c:strCache>
                <c:ptCount val="9"/>
                <c:pt idx="0">
                  <c:v>平成21年</c:v>
                </c:pt>
                <c:pt idx="1">
                  <c:v>平成22年</c:v>
                </c:pt>
                <c:pt idx="2">
                  <c:v>平成23年</c:v>
                </c:pt>
                <c:pt idx="3">
                  <c:v>平成24年</c:v>
                </c:pt>
                <c:pt idx="4">
                  <c:v>平成25年</c:v>
                </c:pt>
                <c:pt idx="5">
                  <c:v>平成26年</c:v>
                </c:pt>
                <c:pt idx="6">
                  <c:v>平成27年</c:v>
                </c:pt>
                <c:pt idx="7">
                  <c:v>平成28年</c:v>
                </c:pt>
                <c:pt idx="8">
                  <c:v>平成29年</c:v>
                </c:pt>
              </c:strCache>
            </c:strRef>
          </c:cat>
          <c:val>
            <c:numRef>
              <c:f>'95'!$N$3:$N$11</c:f>
              <c:numCache>
                <c:formatCode>#,##0_);\(#,##0\)</c:formatCode>
                <c:ptCount val="9"/>
                <c:pt idx="0">
                  <c:v>417</c:v>
                </c:pt>
                <c:pt idx="1">
                  <c:v>412</c:v>
                </c:pt>
                <c:pt idx="2">
                  <c:v>415</c:v>
                </c:pt>
                <c:pt idx="3">
                  <c:v>399</c:v>
                </c:pt>
                <c:pt idx="4">
                  <c:v>419</c:v>
                </c:pt>
                <c:pt idx="5">
                  <c:v>437</c:v>
                </c:pt>
                <c:pt idx="6">
                  <c:v>433</c:v>
                </c:pt>
                <c:pt idx="7">
                  <c:v>438</c:v>
                </c:pt>
                <c:pt idx="8">
                  <c:v>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23-4ABB-A5C0-6BF4E629F429}"/>
            </c:ext>
          </c:extLst>
        </c:ser>
        <c:ser>
          <c:idx val="3"/>
          <c:order val="3"/>
          <c:tx>
            <c:strRef>
              <c:f>'95'!$O$1</c:f>
              <c:strCache>
                <c:ptCount val="1"/>
                <c:pt idx="0">
                  <c:v>乗合車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'95'!$K$3:$K$11</c:f>
              <c:strCache>
                <c:ptCount val="9"/>
                <c:pt idx="0">
                  <c:v>平成21年</c:v>
                </c:pt>
                <c:pt idx="1">
                  <c:v>平成22年</c:v>
                </c:pt>
                <c:pt idx="2">
                  <c:v>平成23年</c:v>
                </c:pt>
                <c:pt idx="3">
                  <c:v>平成24年</c:v>
                </c:pt>
                <c:pt idx="4">
                  <c:v>平成25年</c:v>
                </c:pt>
                <c:pt idx="5">
                  <c:v>平成26年</c:v>
                </c:pt>
                <c:pt idx="6">
                  <c:v>平成27年</c:v>
                </c:pt>
                <c:pt idx="7">
                  <c:v>平成28年</c:v>
                </c:pt>
                <c:pt idx="8">
                  <c:v>平成29年</c:v>
                </c:pt>
              </c:strCache>
            </c:strRef>
          </c:cat>
          <c:val>
            <c:numRef>
              <c:f>'95'!$O$3:$O$11</c:f>
              <c:numCache>
                <c:formatCode>#,##0_);\(#,##0\)</c:formatCode>
                <c:ptCount val="9"/>
                <c:pt idx="0">
                  <c:v>96</c:v>
                </c:pt>
                <c:pt idx="1">
                  <c:v>91</c:v>
                </c:pt>
                <c:pt idx="2">
                  <c:v>90</c:v>
                </c:pt>
                <c:pt idx="3">
                  <c:v>100</c:v>
                </c:pt>
                <c:pt idx="4">
                  <c:v>102</c:v>
                </c:pt>
                <c:pt idx="5">
                  <c:v>108</c:v>
                </c:pt>
                <c:pt idx="6">
                  <c:v>106</c:v>
                </c:pt>
                <c:pt idx="7">
                  <c:v>105</c:v>
                </c:pt>
                <c:pt idx="8">
                  <c:v>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123-4ABB-A5C0-6BF4E629F42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96559488"/>
        <c:axId val="96561024"/>
      </c:barChart>
      <c:catAx>
        <c:axId val="96559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656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561024"/>
        <c:scaling>
          <c:orientation val="minMax"/>
        </c:scaling>
        <c:delete val="0"/>
        <c:axPos val="l"/>
        <c:numFmt formatCode="#,##0_);\(#,##0\)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6559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0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35</xdr:row>
      <xdr:rowOff>19050</xdr:rowOff>
    </xdr:from>
    <xdr:to>
      <xdr:col>9</xdr:col>
      <xdr:colOff>457200</xdr:colOff>
      <xdr:row>61</xdr:row>
      <xdr:rowOff>161925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</xdr:row>
      <xdr:rowOff>152401</xdr:rowOff>
    </xdr:from>
    <xdr:to>
      <xdr:col>10</xdr:col>
      <xdr:colOff>9525</xdr:colOff>
      <xdr:row>31</xdr:row>
      <xdr:rowOff>133351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409575</xdr:colOff>
      <xdr:row>2</xdr:row>
      <xdr:rowOff>133350</xdr:rowOff>
    </xdr:from>
    <xdr:to>
      <xdr:col>8</xdr:col>
      <xdr:colOff>304801</xdr:colOff>
      <xdr:row>6</xdr:row>
      <xdr:rowOff>171450</xdr:rowOff>
    </xdr:to>
    <xdr:grpSp>
      <xdr:nvGrpSpPr>
        <xdr:cNvPr id="4" name="Group 4"/>
        <xdr:cNvGrpSpPr>
          <a:grpSpLocks/>
        </xdr:cNvGrpSpPr>
      </xdr:nvGrpSpPr>
      <xdr:grpSpPr bwMode="auto">
        <a:xfrm>
          <a:off x="4275604" y="491938"/>
          <a:ext cx="1262344" cy="755277"/>
          <a:chOff x="357" y="114"/>
          <a:chExt cx="121" cy="76"/>
        </a:xfrm>
      </xdr:grpSpPr>
      <xdr:grpSp>
        <xdr:nvGrpSpPr>
          <xdr:cNvPr id="5" name="Group 5"/>
          <xdr:cNvGrpSpPr>
            <a:grpSpLocks/>
          </xdr:cNvGrpSpPr>
        </xdr:nvGrpSpPr>
        <xdr:grpSpPr bwMode="auto">
          <a:xfrm>
            <a:off x="407" y="114"/>
            <a:ext cx="71" cy="76"/>
            <a:chOff x="407" y="114"/>
            <a:chExt cx="72" cy="76"/>
          </a:xfrm>
        </xdr:grpSpPr>
        <xdr:sp macro="" textlink="">
          <xdr:nvSpPr>
            <xdr:cNvPr id="11" name="Text Box 6"/>
            <xdr:cNvSpPr txBox="1">
              <a:spLocks noChangeArrowheads="1"/>
            </xdr:cNvSpPr>
          </xdr:nvSpPr>
          <xdr:spPr bwMode="auto">
            <a:xfrm>
              <a:off x="407" y="152"/>
              <a:ext cx="72" cy="1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特種（殊）車</a:t>
              </a:r>
            </a:p>
            <a:p>
              <a:pPr algn="dist" rtl="0">
                <a:defRPr sz="1000"/>
              </a:pPr>
              <a:endParaRPr lang="ja-JP" altLang="en-US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endParaRPr>
            </a:p>
          </xdr:txBody>
        </xdr:sp>
        <xdr:sp macro="" textlink="">
          <xdr:nvSpPr>
            <xdr:cNvPr id="12" name="Text Box 7"/>
            <xdr:cNvSpPr txBox="1">
              <a:spLocks noChangeArrowheads="1"/>
            </xdr:cNvSpPr>
          </xdr:nvSpPr>
          <xdr:spPr bwMode="auto">
            <a:xfrm>
              <a:off x="407" y="171"/>
              <a:ext cx="72" cy="1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乗合車</a:t>
              </a:r>
            </a:p>
          </xdr:txBody>
        </xdr:sp>
        <xdr:sp macro="" textlink="">
          <xdr:nvSpPr>
            <xdr:cNvPr id="13" name="Text Box 8"/>
            <xdr:cNvSpPr txBox="1">
              <a:spLocks noChangeArrowheads="1"/>
            </xdr:cNvSpPr>
          </xdr:nvSpPr>
          <xdr:spPr bwMode="auto">
            <a:xfrm>
              <a:off x="407" y="133"/>
              <a:ext cx="72" cy="1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貨物車</a:t>
              </a:r>
            </a:p>
          </xdr:txBody>
        </xdr:sp>
        <xdr:sp macro="" textlink="">
          <xdr:nvSpPr>
            <xdr:cNvPr id="14" name="Text Box 9"/>
            <xdr:cNvSpPr txBox="1">
              <a:spLocks noChangeArrowheads="1"/>
            </xdr:cNvSpPr>
          </xdr:nvSpPr>
          <xdr:spPr bwMode="auto">
            <a:xfrm>
              <a:off x="407" y="114"/>
              <a:ext cx="72" cy="1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8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乗用車</a:t>
              </a:r>
            </a:p>
          </xdr:txBody>
        </xdr:sp>
      </xdr:grpSp>
      <xdr:grpSp>
        <xdr:nvGrpSpPr>
          <xdr:cNvPr id="6" name="Group 10"/>
          <xdr:cNvGrpSpPr>
            <a:grpSpLocks/>
          </xdr:cNvGrpSpPr>
        </xdr:nvGrpSpPr>
        <xdr:grpSpPr bwMode="auto">
          <a:xfrm>
            <a:off x="357" y="117"/>
            <a:ext cx="39" cy="69"/>
            <a:chOff x="357" y="117"/>
            <a:chExt cx="39" cy="69"/>
          </a:xfrm>
        </xdr:grpSpPr>
        <xdr:sp macro="" textlink="">
          <xdr:nvSpPr>
            <xdr:cNvPr id="7" name="Rectangle 11" descr="右上がり対角線"/>
            <xdr:cNvSpPr>
              <a:spLocks noChangeArrowheads="1"/>
            </xdr:cNvSpPr>
          </xdr:nvSpPr>
          <xdr:spPr bwMode="auto">
            <a:xfrm>
              <a:off x="357" y="117"/>
              <a:ext cx="39" cy="12"/>
            </a:xfrm>
            <a:prstGeom prst="rect">
              <a:avLst/>
            </a:prstGeom>
            <a:pattFill prst="ltUpDiag">
              <a:fgClr>
                <a:srgbClr val="000000"/>
              </a:fgClr>
              <a:bgClr>
                <a:srgbClr val="FFFFFF"/>
              </a:bgClr>
            </a:patt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8" name="Rectangle 12"/>
            <xdr:cNvSpPr>
              <a:spLocks noChangeArrowheads="1"/>
            </xdr:cNvSpPr>
          </xdr:nvSpPr>
          <xdr:spPr bwMode="auto">
            <a:xfrm>
              <a:off x="357" y="136"/>
              <a:ext cx="39" cy="12"/>
            </a:xfrm>
            <a:prstGeom prst="rect">
              <a:avLst/>
            </a:prstGeom>
            <a:solidFill>
              <a:srgbClr val="C0C0C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9" name="Rectangle 13" descr="10%"/>
            <xdr:cNvSpPr>
              <a:spLocks noChangeArrowheads="1"/>
            </xdr:cNvSpPr>
          </xdr:nvSpPr>
          <xdr:spPr bwMode="auto">
            <a:xfrm>
              <a:off x="357" y="155"/>
              <a:ext cx="39" cy="12"/>
            </a:xfrm>
            <a:prstGeom prst="rect">
              <a:avLst/>
            </a:prstGeom>
            <a:pattFill prst="pct10">
              <a:fgClr>
                <a:srgbClr val="000000"/>
              </a:fgClr>
              <a:bgClr>
                <a:srgbClr val="FFFFFF"/>
              </a:bgClr>
            </a:patt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10" name="Rectangle 14"/>
            <xdr:cNvSpPr>
              <a:spLocks noChangeArrowheads="1"/>
            </xdr:cNvSpPr>
          </xdr:nvSpPr>
          <xdr:spPr bwMode="auto">
            <a:xfrm>
              <a:off x="357" y="174"/>
              <a:ext cx="39" cy="12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</xdr:grpSp>
    </xdr:grpSp>
    <xdr:clientData/>
  </xdr:twoCellAnchor>
  <xdr:twoCellAnchor>
    <xdr:from>
      <xdr:col>0</xdr:col>
      <xdr:colOff>66675</xdr:colOff>
      <xdr:row>3</xdr:row>
      <xdr:rowOff>66676</xdr:rowOff>
    </xdr:from>
    <xdr:to>
      <xdr:col>0</xdr:col>
      <xdr:colOff>400050</xdr:colOff>
      <xdr:row>4</xdr:row>
      <xdr:rowOff>95251</xdr:rowOff>
    </xdr:to>
    <xdr:sp macro="" textlink="">
      <xdr:nvSpPr>
        <xdr:cNvPr id="15" name="Text Box 15"/>
        <xdr:cNvSpPr txBox="1">
          <a:spLocks noChangeArrowheads="1"/>
        </xdr:cNvSpPr>
      </xdr:nvSpPr>
      <xdr:spPr bwMode="auto">
        <a:xfrm>
          <a:off x="66675" y="609601"/>
          <a:ext cx="3333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horz" wrap="square" lIns="27432" tIns="0" rIns="0" bIns="0" anchor="b" upright="1"/>
        <a:lstStyle/>
        <a:p>
          <a:pPr algn="l" rtl="0">
            <a:defRPr sz="1000"/>
          </a:pPr>
          <a:r>
            <a:rPr lang="en-US" altLang="ja-JP" sz="7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千台</a:t>
          </a:r>
          <a:r>
            <a:rPr lang="en-US" altLang="ja-JP" sz="7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endParaRPr lang="ja-JP" altLang="en-US" sz="7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1</xdr:col>
      <xdr:colOff>371475</xdr:colOff>
      <xdr:row>37</xdr:row>
      <xdr:rowOff>28576</xdr:rowOff>
    </xdr:from>
    <xdr:to>
      <xdr:col>3</xdr:col>
      <xdr:colOff>438150</xdr:colOff>
      <xdr:row>40</xdr:row>
      <xdr:rowOff>152401</xdr:rowOff>
    </xdr:to>
    <xdr:grpSp>
      <xdr:nvGrpSpPr>
        <xdr:cNvPr id="16" name="Group 16"/>
        <xdr:cNvGrpSpPr>
          <a:grpSpLocks/>
        </xdr:cNvGrpSpPr>
      </xdr:nvGrpSpPr>
      <xdr:grpSpPr bwMode="auto">
        <a:xfrm>
          <a:off x="1055034" y="6662458"/>
          <a:ext cx="1433792" cy="661708"/>
          <a:chOff x="400" y="51"/>
          <a:chExt cx="129" cy="50"/>
        </a:xfrm>
      </xdr:grpSpPr>
      <xdr:sp macro="" textlink="">
        <xdr:nvSpPr>
          <xdr:cNvPr id="17" name="Text Box 17"/>
          <xdr:cNvSpPr txBox="1">
            <a:spLocks noChangeArrowheads="1"/>
          </xdr:cNvSpPr>
        </xdr:nvSpPr>
        <xdr:spPr bwMode="auto">
          <a:xfrm>
            <a:off x="443" y="83"/>
            <a:ext cx="86" cy="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原動機付自転車</a:t>
            </a:r>
          </a:p>
          <a:p>
            <a:pPr algn="dist" rtl="0">
              <a:defRPr sz="1000"/>
            </a:pPr>
            <a:endPara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endParaRPr>
          </a:p>
        </xdr:txBody>
      </xdr:sp>
      <xdr:sp macro="" textlink="">
        <xdr:nvSpPr>
          <xdr:cNvPr id="18" name="Text Box 18"/>
          <xdr:cNvSpPr txBox="1">
            <a:spLocks noChangeArrowheads="1"/>
          </xdr:cNvSpPr>
        </xdr:nvSpPr>
        <xdr:spPr bwMode="auto">
          <a:xfrm>
            <a:off x="443" y="67"/>
            <a:ext cx="86" cy="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小型特殊自動車</a:t>
            </a:r>
          </a:p>
        </xdr:txBody>
      </xdr:sp>
      <xdr:sp macro="" textlink="">
        <xdr:nvSpPr>
          <xdr:cNvPr id="19" name="Text Box 19"/>
          <xdr:cNvSpPr txBox="1">
            <a:spLocks noChangeArrowheads="1"/>
          </xdr:cNvSpPr>
        </xdr:nvSpPr>
        <xdr:spPr bwMode="auto">
          <a:xfrm>
            <a:off x="443" y="51"/>
            <a:ext cx="86" cy="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軽自動車</a:t>
            </a:r>
          </a:p>
        </xdr:txBody>
      </xdr:sp>
      <xdr:sp macro="" textlink="">
        <xdr:nvSpPr>
          <xdr:cNvPr id="20" name="Rectangle 20" descr="右上がり対角線"/>
          <xdr:cNvSpPr>
            <a:spLocks noChangeArrowheads="1"/>
          </xdr:cNvSpPr>
        </xdr:nvSpPr>
        <xdr:spPr bwMode="auto">
          <a:xfrm>
            <a:off x="400" y="69"/>
            <a:ext cx="34" cy="10"/>
          </a:xfrm>
          <a:prstGeom prst="rect">
            <a:avLst/>
          </a:prstGeom>
          <a:pattFill prst="ltUpDiag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1" name="Rectangle 21" descr="紙ふぶき (小)"/>
          <xdr:cNvSpPr>
            <a:spLocks noChangeArrowheads="1"/>
          </xdr:cNvSpPr>
        </xdr:nvSpPr>
        <xdr:spPr bwMode="auto">
          <a:xfrm>
            <a:off x="400" y="53"/>
            <a:ext cx="34" cy="10"/>
          </a:xfrm>
          <a:prstGeom prst="rect">
            <a:avLst/>
          </a:prstGeom>
          <a:pattFill prst="smConfetti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2" name="Rectangle 22"/>
          <xdr:cNvSpPr>
            <a:spLocks noChangeArrowheads="1"/>
          </xdr:cNvSpPr>
        </xdr:nvSpPr>
        <xdr:spPr bwMode="auto">
          <a:xfrm>
            <a:off x="400" y="86"/>
            <a:ext cx="34" cy="1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0.0609</cdr:y>
    </cdr:from>
    <cdr:to>
      <cdr:x>0.05279</cdr:x>
      <cdr:y>0.10413</cdr:y>
    </cdr:to>
    <cdr:sp macro="" textlink="">
      <cdr:nvSpPr>
        <cdr:cNvPr id="2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295275"/>
          <a:ext cx="333375" cy="2095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horz" wrap="square" lIns="27432" tIns="0" rIns="0" bIns="0" anchor="b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altLang="ja-JP" sz="7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千台</a:t>
          </a:r>
          <a:r>
            <a:rPr lang="en-US" altLang="ja-JP" sz="7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endParaRPr lang="ja-JP" altLang="en-US" sz="7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0" y="409575"/>
          <a:ext cx="533400" cy="3905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4</xdr:col>
      <xdr:colOff>0</xdr:colOff>
      <xdr:row>5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0" y="504825"/>
          <a:ext cx="1114425" cy="7239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3"/>
  <sheetViews>
    <sheetView tabSelected="1" zoomScale="85" zoomScaleNormal="85" zoomScaleSheetLayoutView="100" workbookViewId="0">
      <selection activeCell="O15" sqref="O15"/>
    </sheetView>
  </sheetViews>
  <sheetFormatPr defaultRowHeight="14.25"/>
  <cols>
    <col min="1" max="4" width="9" style="1"/>
    <col min="5" max="5" width="5.875" style="1" customWidth="1"/>
    <col min="6" max="9" width="9" style="1"/>
    <col min="10" max="10" width="6.375" style="1" customWidth="1"/>
    <col min="11" max="11" width="10" style="1" bestFit="1" customWidth="1"/>
    <col min="12" max="12" width="10.75" style="1" bestFit="1" customWidth="1"/>
    <col min="13" max="13" width="10.375" style="1" bestFit="1" customWidth="1"/>
    <col min="14" max="14" width="10.75" style="1" bestFit="1" customWidth="1"/>
    <col min="15" max="15" width="9" style="1"/>
    <col min="16" max="16" width="14.25" style="1" bestFit="1" customWidth="1"/>
    <col min="17" max="16384" width="9" style="1"/>
  </cols>
  <sheetData>
    <row r="1" spans="1:26">
      <c r="A1" s="1" t="s">
        <v>246</v>
      </c>
      <c r="K1" s="159"/>
      <c r="L1" s="160" t="s">
        <v>24</v>
      </c>
      <c r="M1" s="160" t="s">
        <v>23</v>
      </c>
      <c r="N1" s="160" t="s">
        <v>22</v>
      </c>
      <c r="O1" s="160" t="s">
        <v>21</v>
      </c>
      <c r="P1" s="159"/>
    </row>
    <row r="2" spans="1:26">
      <c r="K2" s="159"/>
      <c r="L2" s="160"/>
      <c r="M2" s="160"/>
      <c r="N2" s="160"/>
      <c r="O2" s="160"/>
      <c r="P2" s="159"/>
    </row>
    <row r="3" spans="1:26">
      <c r="K3" s="161" t="s">
        <v>6</v>
      </c>
      <c r="L3" s="162">
        <v>7611</v>
      </c>
      <c r="M3" s="162">
        <v>1664</v>
      </c>
      <c r="N3" s="162">
        <v>417</v>
      </c>
      <c r="O3" s="162">
        <v>96</v>
      </c>
      <c r="P3" s="163">
        <f t="shared" ref="P3:P8" si="0">SUM(L3:O3)</f>
        <v>9788</v>
      </c>
      <c r="R3" s="4"/>
      <c r="S3" s="4"/>
      <c r="T3" s="4"/>
      <c r="U3" s="4"/>
    </row>
    <row r="4" spans="1:26">
      <c r="K4" s="161" t="s">
        <v>5</v>
      </c>
      <c r="L4" s="162">
        <v>7539</v>
      </c>
      <c r="M4" s="162">
        <v>1622</v>
      </c>
      <c r="N4" s="162">
        <v>412</v>
      </c>
      <c r="O4" s="162">
        <v>91</v>
      </c>
      <c r="P4" s="163">
        <f t="shared" si="0"/>
        <v>9664</v>
      </c>
      <c r="R4" s="4"/>
      <c r="S4" s="4"/>
      <c r="T4" s="4"/>
      <c r="U4" s="4"/>
    </row>
    <row r="5" spans="1:26">
      <c r="K5" s="161" t="s">
        <v>4</v>
      </c>
      <c r="L5" s="162">
        <v>7600</v>
      </c>
      <c r="M5" s="162">
        <v>1613</v>
      </c>
      <c r="N5" s="162">
        <v>415</v>
      </c>
      <c r="O5" s="162">
        <v>90</v>
      </c>
      <c r="P5" s="163">
        <f t="shared" si="0"/>
        <v>9718</v>
      </c>
      <c r="R5" s="4"/>
      <c r="S5" s="4"/>
      <c r="T5" s="4"/>
      <c r="U5" s="4"/>
    </row>
    <row r="6" spans="1:26">
      <c r="K6" s="161" t="s">
        <v>3</v>
      </c>
      <c r="L6" s="162">
        <v>7629</v>
      </c>
      <c r="M6" s="162">
        <v>1531</v>
      </c>
      <c r="N6" s="162">
        <v>399</v>
      </c>
      <c r="O6" s="162">
        <v>100</v>
      </c>
      <c r="P6" s="163">
        <f t="shared" si="0"/>
        <v>9659</v>
      </c>
      <c r="R6" s="4"/>
      <c r="S6" s="4"/>
      <c r="T6" s="4"/>
      <c r="U6" s="4"/>
    </row>
    <row r="7" spans="1:26">
      <c r="K7" s="161" t="s">
        <v>2</v>
      </c>
      <c r="L7" s="162">
        <v>7782</v>
      </c>
      <c r="M7" s="162">
        <v>1544</v>
      </c>
      <c r="N7" s="162">
        <v>419</v>
      </c>
      <c r="O7" s="162">
        <v>102</v>
      </c>
      <c r="P7" s="163">
        <f t="shared" si="0"/>
        <v>9847</v>
      </c>
      <c r="R7" s="4"/>
      <c r="S7" s="4"/>
      <c r="T7" s="4"/>
      <c r="U7" s="4"/>
    </row>
    <row r="8" spans="1:26">
      <c r="K8" s="161" t="s">
        <v>1</v>
      </c>
      <c r="L8" s="162">
        <v>8129</v>
      </c>
      <c r="M8" s="162">
        <v>1517</v>
      </c>
      <c r="N8" s="162">
        <v>437</v>
      </c>
      <c r="O8" s="162">
        <v>108</v>
      </c>
      <c r="P8" s="163">
        <f t="shared" si="0"/>
        <v>10191</v>
      </c>
      <c r="R8" s="4"/>
      <c r="S8" s="4"/>
      <c r="T8" s="4"/>
      <c r="U8" s="4"/>
    </row>
    <row r="9" spans="1:26">
      <c r="K9" s="161" t="s">
        <v>0</v>
      </c>
      <c r="L9" s="162">
        <v>8086</v>
      </c>
      <c r="M9" s="162">
        <v>1590</v>
      </c>
      <c r="N9" s="162">
        <v>433</v>
      </c>
      <c r="O9" s="162">
        <v>106</v>
      </c>
      <c r="P9" s="163">
        <f t="shared" ref="P9:P11" si="1">SUM(L9:O9)</f>
        <v>10215</v>
      </c>
      <c r="R9" s="4"/>
      <c r="S9" s="4"/>
      <c r="T9" s="4"/>
      <c r="U9" s="4"/>
    </row>
    <row r="10" spans="1:26">
      <c r="K10" s="161" t="s">
        <v>195</v>
      </c>
      <c r="L10" s="162">
        <v>8294</v>
      </c>
      <c r="M10" s="162">
        <v>1600</v>
      </c>
      <c r="N10" s="162">
        <v>438</v>
      </c>
      <c r="O10" s="162">
        <v>105</v>
      </c>
      <c r="P10" s="163">
        <f t="shared" si="1"/>
        <v>10437</v>
      </c>
      <c r="R10" s="4"/>
      <c r="S10" s="4"/>
      <c r="T10" s="4"/>
      <c r="U10" s="4"/>
    </row>
    <row r="11" spans="1:26">
      <c r="K11" s="161" t="s">
        <v>196</v>
      </c>
      <c r="L11" s="162">
        <v>9042</v>
      </c>
      <c r="M11" s="162">
        <v>1611</v>
      </c>
      <c r="N11" s="162">
        <v>444</v>
      </c>
      <c r="O11" s="162">
        <v>110</v>
      </c>
      <c r="P11" s="163">
        <f t="shared" si="1"/>
        <v>11207</v>
      </c>
      <c r="R11" s="4"/>
      <c r="S11" s="4"/>
      <c r="T11" s="4"/>
      <c r="U11" s="4"/>
    </row>
    <row r="13" spans="1:26">
      <c r="L13" s="164"/>
      <c r="M13" s="164"/>
      <c r="N13" s="164"/>
      <c r="O13" s="164"/>
    </row>
    <row r="14" spans="1:26">
      <c r="L14" s="164"/>
      <c r="M14" s="164"/>
      <c r="N14" s="164"/>
      <c r="O14" s="164"/>
    </row>
    <row r="15" spans="1:26">
      <c r="L15" s="164"/>
      <c r="M15" s="164"/>
      <c r="N15" s="164"/>
      <c r="O15" s="164"/>
    </row>
    <row r="16" spans="1:26">
      <c r="W16" s="165" t="s">
        <v>20</v>
      </c>
      <c r="X16" s="165"/>
      <c r="Y16" s="165" t="s">
        <v>19</v>
      </c>
      <c r="Z16" s="165"/>
    </row>
    <row r="17" spans="11:27">
      <c r="K17" s="159"/>
      <c r="L17" s="166" t="s">
        <v>18</v>
      </c>
      <c r="M17" s="166" t="s">
        <v>17</v>
      </c>
      <c r="N17" s="166" t="s">
        <v>16</v>
      </c>
      <c r="O17" s="159"/>
      <c r="P17" s="166" t="s">
        <v>15</v>
      </c>
      <c r="Q17" s="166" t="s">
        <v>14</v>
      </c>
      <c r="R17" s="166" t="s">
        <v>13</v>
      </c>
      <c r="S17" s="166" t="s">
        <v>12</v>
      </c>
      <c r="T17" s="166" t="s">
        <v>11</v>
      </c>
      <c r="U17" s="166" t="s">
        <v>10</v>
      </c>
      <c r="V17" s="166" t="s">
        <v>9</v>
      </c>
      <c r="W17" s="166" t="s">
        <v>8</v>
      </c>
      <c r="X17" s="166" t="s">
        <v>7</v>
      </c>
      <c r="Y17" s="166" t="s">
        <v>8</v>
      </c>
      <c r="Z17" s="166" t="s">
        <v>7</v>
      </c>
      <c r="AA17" s="159"/>
    </row>
    <row r="18" spans="11:27">
      <c r="K18" s="161" t="s">
        <v>6</v>
      </c>
      <c r="L18" s="163">
        <f t="shared" ref="L18:L23" si="2">SUM(P18:R18)</f>
        <v>3850</v>
      </c>
      <c r="M18" s="163">
        <f t="shared" ref="M18:M27" si="3">SUM(T18:U18)</f>
        <v>81</v>
      </c>
      <c r="N18" s="163">
        <f t="shared" ref="N18:N27" si="4">SUM(V18:AA18)</f>
        <v>13246</v>
      </c>
      <c r="O18" s="167">
        <f t="shared" ref="O18:O26" si="5">SUM(L18:N18)</f>
        <v>17177</v>
      </c>
      <c r="P18" s="162">
        <v>2705</v>
      </c>
      <c r="Q18" s="162">
        <v>305</v>
      </c>
      <c r="R18" s="162">
        <v>840</v>
      </c>
      <c r="S18" s="162">
        <v>23</v>
      </c>
      <c r="T18" s="162">
        <v>74</v>
      </c>
      <c r="U18" s="162">
        <v>7</v>
      </c>
      <c r="V18" s="162">
        <v>948</v>
      </c>
      <c r="W18" s="162">
        <v>9010</v>
      </c>
      <c r="X18" s="162">
        <v>2</v>
      </c>
      <c r="Y18" s="162">
        <v>2812</v>
      </c>
      <c r="Z18" s="162">
        <v>38</v>
      </c>
      <c r="AA18" s="162">
        <v>436</v>
      </c>
    </row>
    <row r="19" spans="11:27">
      <c r="K19" s="161" t="s">
        <v>5</v>
      </c>
      <c r="L19" s="163">
        <f t="shared" si="2"/>
        <v>3879</v>
      </c>
      <c r="M19" s="163">
        <f t="shared" si="3"/>
        <v>84</v>
      </c>
      <c r="N19" s="163">
        <f t="shared" si="4"/>
        <v>13768</v>
      </c>
      <c r="O19" s="167">
        <f t="shared" si="5"/>
        <v>17731</v>
      </c>
      <c r="P19" s="162">
        <v>2671</v>
      </c>
      <c r="Q19" s="162">
        <v>286</v>
      </c>
      <c r="R19" s="162">
        <v>922</v>
      </c>
      <c r="S19" s="162">
        <v>20</v>
      </c>
      <c r="T19" s="162">
        <v>77</v>
      </c>
      <c r="U19" s="162">
        <v>7</v>
      </c>
      <c r="V19" s="162">
        <v>992</v>
      </c>
      <c r="W19" s="162">
        <v>9518</v>
      </c>
      <c r="X19" s="162">
        <v>4</v>
      </c>
      <c r="Y19" s="162">
        <v>2787</v>
      </c>
      <c r="Z19" s="162">
        <v>30</v>
      </c>
      <c r="AA19" s="162">
        <v>437</v>
      </c>
    </row>
    <row r="20" spans="11:27">
      <c r="K20" s="161" t="s">
        <v>4</v>
      </c>
      <c r="L20" s="163">
        <f t="shared" si="2"/>
        <v>3838</v>
      </c>
      <c r="M20" s="163">
        <f t="shared" si="3"/>
        <v>84</v>
      </c>
      <c r="N20" s="163">
        <f t="shared" si="4"/>
        <v>14341</v>
      </c>
      <c r="O20" s="167">
        <f t="shared" si="5"/>
        <v>18263</v>
      </c>
      <c r="P20" s="162">
        <v>2565</v>
      </c>
      <c r="Q20" s="162">
        <v>258</v>
      </c>
      <c r="R20" s="162">
        <v>1015</v>
      </c>
      <c r="S20" s="162">
        <v>17</v>
      </c>
      <c r="T20" s="162">
        <v>76</v>
      </c>
      <c r="U20" s="162">
        <v>8</v>
      </c>
      <c r="V20" s="162">
        <v>990</v>
      </c>
      <c r="W20" s="162">
        <v>10053</v>
      </c>
      <c r="X20" s="162">
        <v>5</v>
      </c>
      <c r="Y20" s="162">
        <v>2800</v>
      </c>
      <c r="Z20" s="162">
        <v>34</v>
      </c>
      <c r="AA20" s="162">
        <v>459</v>
      </c>
    </row>
    <row r="21" spans="11:27">
      <c r="K21" s="161" t="s">
        <v>3</v>
      </c>
      <c r="L21" s="163">
        <f t="shared" si="2"/>
        <v>3881</v>
      </c>
      <c r="M21" s="163">
        <f t="shared" si="3"/>
        <v>83</v>
      </c>
      <c r="N21" s="163">
        <f t="shared" si="4"/>
        <v>14636</v>
      </c>
      <c r="O21" s="167">
        <f t="shared" si="5"/>
        <v>18600</v>
      </c>
      <c r="P21" s="162">
        <v>2535</v>
      </c>
      <c r="Q21" s="162">
        <v>237</v>
      </c>
      <c r="R21" s="162">
        <v>1109</v>
      </c>
      <c r="S21" s="162">
        <v>20</v>
      </c>
      <c r="T21" s="162">
        <v>75</v>
      </c>
      <c r="U21" s="162">
        <v>8</v>
      </c>
      <c r="V21" s="162">
        <v>962</v>
      </c>
      <c r="W21" s="162">
        <v>10440</v>
      </c>
      <c r="X21" s="162">
        <v>4</v>
      </c>
      <c r="Y21" s="162">
        <v>2748</v>
      </c>
      <c r="Z21" s="162">
        <v>34</v>
      </c>
      <c r="AA21" s="162">
        <v>448</v>
      </c>
    </row>
    <row r="22" spans="11:27">
      <c r="K22" s="161" t="s">
        <v>2</v>
      </c>
      <c r="L22" s="163">
        <f t="shared" si="2"/>
        <v>3882</v>
      </c>
      <c r="M22" s="163">
        <f t="shared" si="3"/>
        <v>83</v>
      </c>
      <c r="N22" s="163">
        <f t="shared" si="4"/>
        <v>14987</v>
      </c>
      <c r="O22" s="167">
        <f t="shared" si="5"/>
        <v>18952</v>
      </c>
      <c r="P22" s="162">
        <v>2472</v>
      </c>
      <c r="Q22" s="162">
        <v>210</v>
      </c>
      <c r="R22" s="162">
        <v>1200</v>
      </c>
      <c r="S22" s="162">
        <v>17</v>
      </c>
      <c r="T22" s="162">
        <v>76</v>
      </c>
      <c r="U22" s="162">
        <v>7</v>
      </c>
      <c r="V22" s="162">
        <v>1012</v>
      </c>
      <c r="W22" s="162">
        <v>10813</v>
      </c>
      <c r="X22" s="162">
        <v>3</v>
      </c>
      <c r="Y22" s="162">
        <v>2687</v>
      </c>
      <c r="Z22" s="162">
        <v>34</v>
      </c>
      <c r="AA22" s="162">
        <v>438</v>
      </c>
    </row>
    <row r="23" spans="11:27">
      <c r="K23" s="161" t="s">
        <v>1</v>
      </c>
      <c r="L23" s="163">
        <f t="shared" si="2"/>
        <v>3888</v>
      </c>
      <c r="M23" s="163">
        <f t="shared" si="3"/>
        <v>85</v>
      </c>
      <c r="N23" s="163">
        <f t="shared" si="4"/>
        <v>15406</v>
      </c>
      <c r="O23" s="167">
        <f t="shared" si="5"/>
        <v>19379</v>
      </c>
      <c r="P23" s="162">
        <v>2397</v>
      </c>
      <c r="Q23" s="162">
        <v>199</v>
      </c>
      <c r="R23" s="162">
        <v>1292</v>
      </c>
      <c r="S23" s="162">
        <v>20</v>
      </c>
      <c r="T23" s="162">
        <v>78</v>
      </c>
      <c r="U23" s="162">
        <v>7</v>
      </c>
      <c r="V23" s="162">
        <v>1005</v>
      </c>
      <c r="W23" s="162">
        <v>11234</v>
      </c>
      <c r="X23" s="162">
        <v>6</v>
      </c>
      <c r="Y23" s="162">
        <v>2659</v>
      </c>
      <c r="Z23" s="162">
        <v>38</v>
      </c>
      <c r="AA23" s="162">
        <v>464</v>
      </c>
    </row>
    <row r="24" spans="11:27">
      <c r="K24" s="161" t="s">
        <v>0</v>
      </c>
      <c r="L24" s="163">
        <f>SUM(P24:S24)</f>
        <v>3933</v>
      </c>
      <c r="M24" s="163">
        <f t="shared" si="3"/>
        <v>85</v>
      </c>
      <c r="N24" s="163">
        <f t="shared" si="4"/>
        <v>15785</v>
      </c>
      <c r="O24" s="167">
        <f t="shared" si="5"/>
        <v>19803</v>
      </c>
      <c r="P24" s="162">
        <v>2354</v>
      </c>
      <c r="Q24" s="162">
        <v>177</v>
      </c>
      <c r="R24" s="162">
        <v>1385</v>
      </c>
      <c r="S24" s="162">
        <v>17</v>
      </c>
      <c r="T24" s="162">
        <v>78</v>
      </c>
      <c r="U24" s="162">
        <v>7</v>
      </c>
      <c r="V24" s="162">
        <v>1031</v>
      </c>
      <c r="W24" s="162">
        <v>11634</v>
      </c>
      <c r="X24" s="162">
        <v>5</v>
      </c>
      <c r="Y24" s="162">
        <v>2617</v>
      </c>
      <c r="Z24" s="162">
        <v>37</v>
      </c>
      <c r="AA24" s="162">
        <v>461</v>
      </c>
    </row>
    <row r="25" spans="11:27">
      <c r="K25" s="161" t="s">
        <v>195</v>
      </c>
      <c r="L25" s="163">
        <f>SUM(P25:S25)</f>
        <v>3845</v>
      </c>
      <c r="M25" s="163">
        <f t="shared" si="3"/>
        <v>88</v>
      </c>
      <c r="N25" s="163">
        <f t="shared" si="4"/>
        <v>16085</v>
      </c>
      <c r="O25" s="167">
        <f t="shared" si="5"/>
        <v>20018</v>
      </c>
      <c r="P25" s="162">
        <v>2275</v>
      </c>
      <c r="Q25" s="162">
        <v>151</v>
      </c>
      <c r="R25" s="162">
        <v>1404</v>
      </c>
      <c r="S25" s="162">
        <v>15</v>
      </c>
      <c r="T25" s="162">
        <v>82</v>
      </c>
      <c r="U25" s="162">
        <v>6</v>
      </c>
      <c r="V25" s="162">
        <v>1033</v>
      </c>
      <c r="W25" s="162">
        <v>11870</v>
      </c>
      <c r="X25" s="162">
        <v>5</v>
      </c>
      <c r="Y25" s="162">
        <v>2663</v>
      </c>
      <c r="Z25" s="162">
        <v>41</v>
      </c>
      <c r="AA25" s="162">
        <v>473</v>
      </c>
    </row>
    <row r="26" spans="11:27">
      <c r="K26" s="161" t="s">
        <v>196</v>
      </c>
      <c r="L26" s="163">
        <f>SUM(P26:S26)</f>
        <v>3782</v>
      </c>
      <c r="M26" s="163">
        <f t="shared" si="3"/>
        <v>86</v>
      </c>
      <c r="N26" s="163">
        <f t="shared" si="4"/>
        <v>16315</v>
      </c>
      <c r="O26" s="167">
        <f t="shared" si="5"/>
        <v>20183</v>
      </c>
      <c r="P26" s="162">
        <v>2156</v>
      </c>
      <c r="Q26" s="162">
        <v>142</v>
      </c>
      <c r="R26" s="162">
        <v>1467</v>
      </c>
      <c r="S26" s="162">
        <v>17</v>
      </c>
      <c r="T26" s="162">
        <v>81</v>
      </c>
      <c r="U26" s="162">
        <v>5</v>
      </c>
      <c r="V26" s="162">
        <v>1034</v>
      </c>
      <c r="W26" s="162">
        <v>12070</v>
      </c>
      <c r="X26" s="162">
        <v>5</v>
      </c>
      <c r="Y26" s="162">
        <v>2659</v>
      </c>
      <c r="Z26" s="162">
        <v>39</v>
      </c>
      <c r="AA26" s="162">
        <v>508</v>
      </c>
    </row>
    <row r="27" spans="11:27">
      <c r="K27" s="161" t="s">
        <v>197</v>
      </c>
      <c r="L27" s="163">
        <f>SUM(P27:S27)</f>
        <v>3736</v>
      </c>
      <c r="M27" s="163">
        <f t="shared" si="3"/>
        <v>84</v>
      </c>
      <c r="N27" s="163">
        <f t="shared" si="4"/>
        <v>16675</v>
      </c>
      <c r="O27" s="167">
        <f>SUM(L27:N27)</f>
        <v>20495</v>
      </c>
      <c r="P27" s="162">
        <v>2105</v>
      </c>
      <c r="Q27" s="162">
        <v>127</v>
      </c>
      <c r="R27" s="162">
        <v>1486</v>
      </c>
      <c r="S27" s="162">
        <v>18</v>
      </c>
      <c r="T27" s="162">
        <v>80</v>
      </c>
      <c r="U27" s="162">
        <v>4</v>
      </c>
      <c r="V27" s="162">
        <v>1042</v>
      </c>
      <c r="W27" s="162">
        <v>12404</v>
      </c>
      <c r="X27" s="162">
        <v>5</v>
      </c>
      <c r="Y27" s="162">
        <v>2641</v>
      </c>
      <c r="Z27" s="162">
        <v>41</v>
      </c>
      <c r="AA27" s="162">
        <v>542</v>
      </c>
    </row>
    <row r="28" spans="11:27"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</row>
    <row r="29" spans="11:27"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</row>
    <row r="35" spans="1:15">
      <c r="A35" s="1" t="s">
        <v>247</v>
      </c>
      <c r="K35" s="3"/>
      <c r="N35" s="2"/>
      <c r="O35" s="2"/>
    </row>
    <row r="36" spans="1:15">
      <c r="N36" s="2"/>
      <c r="O36" s="2"/>
    </row>
    <row r="37" spans="1:15">
      <c r="N37" s="2"/>
      <c r="O37" s="2"/>
    </row>
    <row r="38" spans="1:15">
      <c r="N38" s="2"/>
      <c r="O38" s="2"/>
    </row>
    <row r="39" spans="1:15">
      <c r="N39" s="2"/>
      <c r="O39" s="2"/>
    </row>
    <row r="40" spans="1:15">
      <c r="N40" s="2"/>
      <c r="O40" s="2"/>
    </row>
    <row r="41" spans="1:15">
      <c r="N41" s="2"/>
      <c r="O41" s="2"/>
    </row>
    <row r="42" spans="1:15">
      <c r="N42" s="2"/>
      <c r="O42" s="2"/>
    </row>
    <row r="43" spans="1:15">
      <c r="N43" s="2"/>
      <c r="O43" s="2"/>
    </row>
    <row r="44" spans="1:15">
      <c r="N44" s="2"/>
      <c r="O44" s="2"/>
    </row>
    <row r="45" spans="1:15">
      <c r="N45" s="2"/>
      <c r="O45" s="2"/>
    </row>
    <row r="48" spans="1:15">
      <c r="K48" s="3"/>
      <c r="N48" s="2"/>
      <c r="O48" s="2"/>
    </row>
    <row r="49" spans="14:15">
      <c r="N49" s="2"/>
      <c r="O49" s="2"/>
    </row>
    <row r="50" spans="14:15">
      <c r="N50" s="2"/>
      <c r="O50" s="2"/>
    </row>
    <row r="51" spans="14:15">
      <c r="N51" s="2"/>
      <c r="O51" s="2"/>
    </row>
    <row r="52" spans="14:15">
      <c r="N52" s="2"/>
      <c r="O52" s="2"/>
    </row>
    <row r="53" spans="14:15">
      <c r="N53" s="2"/>
      <c r="O53" s="2"/>
    </row>
  </sheetData>
  <mergeCells count="2">
    <mergeCell ref="W16:X16"/>
    <mergeCell ref="Y16:Z16"/>
  </mergeCells>
  <phoneticPr fontId="2"/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89" firstPageNumber="95" orientation="portrait" useFirstPageNumber="1" horizontalDpi="300" verticalDpi="300" r:id="rId1"/>
  <headerFooter alignWithMargins="0">
    <oddHeader>&amp;R&amp;10運   輸</oddHeader>
    <oddFooter>&amp;C－&amp;P－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4"/>
  <sheetViews>
    <sheetView zoomScaleNormal="100" workbookViewId="0">
      <selection activeCell="O15" sqref="O15"/>
    </sheetView>
  </sheetViews>
  <sheetFormatPr defaultColWidth="10.875" defaultRowHeight="13.5"/>
  <cols>
    <col min="1" max="15" width="7" style="52" customWidth="1"/>
    <col min="16" max="16" width="7.5" style="52" customWidth="1"/>
    <col min="17" max="17" width="7" style="52" customWidth="1"/>
    <col min="18" max="18" width="7.875" style="52" customWidth="1"/>
    <col min="19" max="16384" width="10.875" style="52"/>
  </cols>
  <sheetData>
    <row r="1" spans="1:20" ht="15.75" customHeight="1">
      <c r="A1" s="51" t="s">
        <v>50</v>
      </c>
      <c r="B1" s="51"/>
      <c r="P1" s="53"/>
    </row>
    <row r="2" spans="1:20" ht="15.75" customHeight="1">
      <c r="A2" s="51"/>
      <c r="B2" s="51"/>
      <c r="P2" s="53"/>
      <c r="R2" s="54" t="s">
        <v>155</v>
      </c>
    </row>
    <row r="3" spans="1:20" s="56" customFormat="1" ht="15.75" customHeight="1">
      <c r="A3" s="55" t="s">
        <v>49</v>
      </c>
      <c r="B3" s="124" t="s">
        <v>48</v>
      </c>
      <c r="C3" s="126" t="s">
        <v>47</v>
      </c>
      <c r="D3" s="127"/>
      <c r="E3" s="127"/>
      <c r="F3" s="128"/>
      <c r="G3" s="126" t="s">
        <v>46</v>
      </c>
      <c r="H3" s="127"/>
      <c r="I3" s="128"/>
      <c r="J3" s="126" t="s">
        <v>45</v>
      </c>
      <c r="K3" s="127"/>
      <c r="L3" s="128"/>
      <c r="M3" s="126" t="s">
        <v>44</v>
      </c>
      <c r="N3" s="127"/>
      <c r="O3" s="128"/>
      <c r="P3" s="129" t="s">
        <v>156</v>
      </c>
      <c r="Q3" s="129" t="s">
        <v>157</v>
      </c>
      <c r="R3" s="131" t="s">
        <v>158</v>
      </c>
    </row>
    <row r="4" spans="1:20" s="56" customFormat="1" ht="15.75" customHeight="1">
      <c r="A4" s="57" t="s">
        <v>43</v>
      </c>
      <c r="B4" s="125"/>
      <c r="C4" s="58" t="s">
        <v>39</v>
      </c>
      <c r="D4" s="58" t="s">
        <v>38</v>
      </c>
      <c r="E4" s="58" t="s">
        <v>42</v>
      </c>
      <c r="F4" s="58" t="s">
        <v>41</v>
      </c>
      <c r="G4" s="58" t="s">
        <v>39</v>
      </c>
      <c r="H4" s="58" t="s">
        <v>38</v>
      </c>
      <c r="I4" s="58" t="s">
        <v>40</v>
      </c>
      <c r="J4" s="58" t="s">
        <v>39</v>
      </c>
      <c r="K4" s="58" t="s">
        <v>38</v>
      </c>
      <c r="L4" s="58" t="s">
        <v>37</v>
      </c>
      <c r="M4" s="59" t="s">
        <v>36</v>
      </c>
      <c r="N4" s="59" t="s">
        <v>35</v>
      </c>
      <c r="O4" s="60" t="s">
        <v>34</v>
      </c>
      <c r="P4" s="130"/>
      <c r="Q4" s="130"/>
      <c r="R4" s="132"/>
    </row>
    <row r="5" spans="1:20" ht="18" customHeight="1">
      <c r="A5" s="133" t="s">
        <v>33</v>
      </c>
      <c r="B5" s="61" t="s">
        <v>27</v>
      </c>
      <c r="C5" s="8">
        <v>559</v>
      </c>
      <c r="D5" s="8">
        <v>1013</v>
      </c>
      <c r="E5" s="8">
        <v>0</v>
      </c>
      <c r="F5" s="8">
        <v>1572</v>
      </c>
      <c r="G5" s="8">
        <v>0</v>
      </c>
      <c r="H5" s="8">
        <v>33</v>
      </c>
      <c r="I5" s="11">
        <f>SUM(G5:H5)</f>
        <v>33</v>
      </c>
      <c r="J5" s="8">
        <v>1958</v>
      </c>
      <c r="K5" s="8">
        <v>5311</v>
      </c>
      <c r="L5" s="8">
        <f t="shared" ref="L5:L15" si="0">SUM(J5:K5)</f>
        <v>7269</v>
      </c>
      <c r="M5" s="8">
        <v>378</v>
      </c>
      <c r="N5" s="8">
        <v>27</v>
      </c>
      <c r="O5" s="11">
        <f>SUM(M5:N5)</f>
        <v>405</v>
      </c>
      <c r="P5" s="8">
        <f>SUM(F5,I5,L5,O5)</f>
        <v>9279</v>
      </c>
      <c r="Q5" s="14">
        <v>434</v>
      </c>
      <c r="R5" s="7">
        <f>SUM(P5:Q5)</f>
        <v>9713</v>
      </c>
    </row>
    <row r="6" spans="1:20" ht="18" customHeight="1">
      <c r="A6" s="122"/>
      <c r="B6" s="62" t="s">
        <v>26</v>
      </c>
      <c r="C6" s="8">
        <v>77</v>
      </c>
      <c r="D6" s="8">
        <v>11</v>
      </c>
      <c r="E6" s="8">
        <v>4</v>
      </c>
      <c r="F6" s="8">
        <f>SUM(C6:E6)</f>
        <v>92</v>
      </c>
      <c r="G6" s="8">
        <v>60</v>
      </c>
      <c r="H6" s="8">
        <v>3</v>
      </c>
      <c r="I6" s="8">
        <f>SUM(G6:H6)</f>
        <v>63</v>
      </c>
      <c r="J6" s="8">
        <v>12</v>
      </c>
      <c r="K6" s="8">
        <v>330</v>
      </c>
      <c r="L6" s="8">
        <f t="shared" si="0"/>
        <v>342</v>
      </c>
      <c r="M6" s="8">
        <v>12</v>
      </c>
      <c r="N6" s="8">
        <v>0</v>
      </c>
      <c r="O6" s="8">
        <f>SUM(M6:N6)</f>
        <v>12</v>
      </c>
      <c r="P6" s="8">
        <f>SUM(F6,I6,L6,O6)</f>
        <v>509</v>
      </c>
      <c r="Q6" s="8">
        <v>0</v>
      </c>
      <c r="R6" s="7">
        <f>SUM(P6:Q6)</f>
        <v>509</v>
      </c>
    </row>
    <row r="7" spans="1:20" ht="18" customHeight="1">
      <c r="A7" s="123"/>
      <c r="B7" s="63" t="s">
        <v>25</v>
      </c>
      <c r="C7" s="13">
        <f t="shared" ref="C7:E7" si="1">SUM(C5:C6)</f>
        <v>636</v>
      </c>
      <c r="D7" s="13">
        <f t="shared" si="1"/>
        <v>1024</v>
      </c>
      <c r="E7" s="13">
        <f t="shared" si="1"/>
        <v>4</v>
      </c>
      <c r="F7" s="13">
        <f>SUM(F5:F6)</f>
        <v>1664</v>
      </c>
      <c r="G7" s="13">
        <f t="shared" ref="G7:J7" si="2">SUM(G5:G6)</f>
        <v>60</v>
      </c>
      <c r="H7" s="13">
        <f t="shared" si="2"/>
        <v>36</v>
      </c>
      <c r="I7" s="13">
        <f t="shared" si="2"/>
        <v>96</v>
      </c>
      <c r="J7" s="13">
        <f t="shared" si="2"/>
        <v>1970</v>
      </c>
      <c r="K7" s="13">
        <f>SUM(K5:K6)</f>
        <v>5641</v>
      </c>
      <c r="L7" s="13">
        <f>SUM(L5:L6)</f>
        <v>7611</v>
      </c>
      <c r="M7" s="13">
        <f t="shared" ref="M7:N7" si="3">SUM(M5:M6)</f>
        <v>390</v>
      </c>
      <c r="N7" s="13">
        <f t="shared" si="3"/>
        <v>27</v>
      </c>
      <c r="O7" s="13">
        <f>SUM(O5:O6)</f>
        <v>417</v>
      </c>
      <c r="P7" s="13">
        <f t="shared" ref="P7:R7" si="4">SUM(P5:P6)</f>
        <v>9788</v>
      </c>
      <c r="Q7" s="13">
        <f t="shared" si="4"/>
        <v>434</v>
      </c>
      <c r="R7" s="12">
        <f t="shared" si="4"/>
        <v>10222</v>
      </c>
    </row>
    <row r="8" spans="1:20" ht="18" customHeight="1">
      <c r="A8" s="121" t="s">
        <v>32</v>
      </c>
      <c r="B8" s="64" t="s">
        <v>27</v>
      </c>
      <c r="C8" s="11">
        <v>559</v>
      </c>
      <c r="D8" s="11">
        <v>970</v>
      </c>
      <c r="E8" s="11">
        <v>0</v>
      </c>
      <c r="F8" s="8">
        <f>SUM(C8:E8)</f>
        <v>1529</v>
      </c>
      <c r="G8" s="11">
        <v>0</v>
      </c>
      <c r="H8" s="11">
        <v>33</v>
      </c>
      <c r="I8" s="11">
        <f>SUM(G8:H8)</f>
        <v>33</v>
      </c>
      <c r="J8" s="11">
        <v>1979</v>
      </c>
      <c r="K8" s="11">
        <v>5231</v>
      </c>
      <c r="L8" s="8">
        <f t="shared" si="0"/>
        <v>7210</v>
      </c>
      <c r="M8" s="11">
        <v>377</v>
      </c>
      <c r="N8" s="11">
        <v>26</v>
      </c>
      <c r="O8" s="11">
        <f>SUM(M8:N8)</f>
        <v>403</v>
      </c>
      <c r="P8" s="11">
        <f>SUM(F8,I8,L8,O8)</f>
        <v>9175</v>
      </c>
      <c r="Q8" s="10">
        <v>463</v>
      </c>
      <c r="R8" s="9">
        <f>SUM(P8:Q8)</f>
        <v>9638</v>
      </c>
    </row>
    <row r="9" spans="1:20" ht="18" customHeight="1">
      <c r="A9" s="122"/>
      <c r="B9" s="65" t="s">
        <v>26</v>
      </c>
      <c r="C9" s="8">
        <v>78</v>
      </c>
      <c r="D9" s="8">
        <v>8</v>
      </c>
      <c r="E9" s="8">
        <v>7</v>
      </c>
      <c r="F9" s="8">
        <f>SUM(C9:E9)</f>
        <v>93</v>
      </c>
      <c r="G9" s="8">
        <v>56</v>
      </c>
      <c r="H9" s="8">
        <v>2</v>
      </c>
      <c r="I9" s="8">
        <f>SUM(G9:H9)</f>
        <v>58</v>
      </c>
      <c r="J9" s="8">
        <v>14</v>
      </c>
      <c r="K9" s="8">
        <v>315</v>
      </c>
      <c r="L9" s="8">
        <f t="shared" si="0"/>
        <v>329</v>
      </c>
      <c r="M9" s="8">
        <v>9</v>
      </c>
      <c r="N9" s="8">
        <v>0</v>
      </c>
      <c r="O9" s="8">
        <f>SUM(M9:N9)</f>
        <v>9</v>
      </c>
      <c r="P9" s="8">
        <f>SUM(F9,I9,L9,O9)</f>
        <v>489</v>
      </c>
      <c r="Q9" s="8">
        <v>0</v>
      </c>
      <c r="R9" s="7">
        <f>SUM(P9:Q9)</f>
        <v>489</v>
      </c>
    </row>
    <row r="10" spans="1:20" ht="18" customHeight="1">
      <c r="A10" s="123"/>
      <c r="B10" s="66" t="s">
        <v>25</v>
      </c>
      <c r="C10" s="13">
        <f t="shared" ref="C10" si="5">SUM(C8:C9)</f>
        <v>637</v>
      </c>
      <c r="D10" s="13">
        <f t="shared" ref="D10" si="6">SUM(D8:D9)</f>
        <v>978</v>
      </c>
      <c r="E10" s="13">
        <f t="shared" ref="E10" si="7">SUM(E8:E9)</f>
        <v>7</v>
      </c>
      <c r="F10" s="13">
        <f t="shared" ref="F10:H10" si="8">SUM(F8:F9)</f>
        <v>1622</v>
      </c>
      <c r="G10" s="13">
        <f t="shared" si="8"/>
        <v>56</v>
      </c>
      <c r="H10" s="13">
        <f t="shared" si="8"/>
        <v>35</v>
      </c>
      <c r="I10" s="13">
        <f t="shared" ref="I10:J10" si="9">SUM(I8:I9)</f>
        <v>91</v>
      </c>
      <c r="J10" s="13">
        <f t="shared" si="9"/>
        <v>1993</v>
      </c>
      <c r="K10" s="13">
        <f>SUM(K8:K9)</f>
        <v>5546</v>
      </c>
      <c r="L10" s="13">
        <f t="shared" si="0"/>
        <v>7539</v>
      </c>
      <c r="M10" s="13">
        <f t="shared" ref="M10" si="10">SUM(M8:M9)</f>
        <v>386</v>
      </c>
      <c r="N10" s="13">
        <f t="shared" ref="N10" si="11">SUM(N8:N9)</f>
        <v>26</v>
      </c>
      <c r="O10" s="13">
        <f t="shared" ref="O10:Q10" si="12">SUM(O8:O9)</f>
        <v>412</v>
      </c>
      <c r="P10" s="13">
        <f t="shared" si="12"/>
        <v>9664</v>
      </c>
      <c r="Q10" s="13">
        <f t="shared" si="12"/>
        <v>463</v>
      </c>
      <c r="R10" s="12">
        <f t="shared" ref="R10" si="13">SUM(R8:R9)</f>
        <v>10127</v>
      </c>
    </row>
    <row r="11" spans="1:20" ht="18" customHeight="1">
      <c r="A11" s="133" t="s">
        <v>31</v>
      </c>
      <c r="B11" s="64" t="s">
        <v>27</v>
      </c>
      <c r="C11" s="11">
        <v>561</v>
      </c>
      <c r="D11" s="11">
        <v>947</v>
      </c>
      <c r="E11" s="11">
        <v>1</v>
      </c>
      <c r="F11" s="8">
        <f>SUM(C11:E11)</f>
        <v>1509</v>
      </c>
      <c r="G11" s="11">
        <v>0</v>
      </c>
      <c r="H11" s="11">
        <v>32</v>
      </c>
      <c r="I11" s="11">
        <f>SUM(G11:H11)</f>
        <v>32</v>
      </c>
      <c r="J11" s="11">
        <v>2045</v>
      </c>
      <c r="K11" s="11">
        <v>5211</v>
      </c>
      <c r="L11" s="8">
        <f t="shared" si="0"/>
        <v>7256</v>
      </c>
      <c r="M11" s="11">
        <v>380</v>
      </c>
      <c r="N11" s="11">
        <v>24</v>
      </c>
      <c r="O11" s="8">
        <f>SUM(M11:N11)</f>
        <v>404</v>
      </c>
      <c r="P11" s="11">
        <f>SUM(F11,I11,L11,O11)</f>
        <v>9201</v>
      </c>
      <c r="Q11" s="10">
        <v>455</v>
      </c>
      <c r="R11" s="9">
        <f>SUM(P11:Q11)</f>
        <v>9656</v>
      </c>
    </row>
    <row r="12" spans="1:20" ht="18" customHeight="1">
      <c r="A12" s="122"/>
      <c r="B12" s="65" t="s">
        <v>26</v>
      </c>
      <c r="C12" s="8">
        <v>92</v>
      </c>
      <c r="D12" s="8">
        <v>5</v>
      </c>
      <c r="E12" s="8">
        <v>7</v>
      </c>
      <c r="F12" s="8">
        <f>SUM(C12:E12)</f>
        <v>104</v>
      </c>
      <c r="G12" s="8">
        <v>56</v>
      </c>
      <c r="H12" s="8">
        <v>2</v>
      </c>
      <c r="I12" s="8">
        <f>SUM(G12:H12)</f>
        <v>58</v>
      </c>
      <c r="J12" s="8">
        <v>16</v>
      </c>
      <c r="K12" s="8">
        <v>328</v>
      </c>
      <c r="L12" s="8">
        <f t="shared" si="0"/>
        <v>344</v>
      </c>
      <c r="M12" s="8">
        <v>11</v>
      </c>
      <c r="N12" s="8">
        <v>0</v>
      </c>
      <c r="O12" s="8">
        <f>SUM(M12:N12)</f>
        <v>11</v>
      </c>
      <c r="P12" s="8">
        <f>SUM(F12,I12,L12,O12)</f>
        <v>517</v>
      </c>
      <c r="Q12" s="8">
        <v>0</v>
      </c>
      <c r="R12" s="7">
        <f>SUM(P12:Q12)</f>
        <v>517</v>
      </c>
    </row>
    <row r="13" spans="1:20" ht="18" customHeight="1">
      <c r="A13" s="123"/>
      <c r="B13" s="66" t="s">
        <v>25</v>
      </c>
      <c r="C13" s="13">
        <f t="shared" ref="C13" si="14">SUM(C11:C12)</f>
        <v>653</v>
      </c>
      <c r="D13" s="13">
        <f t="shared" ref="D13" si="15">SUM(D11:D12)</f>
        <v>952</v>
      </c>
      <c r="E13" s="13">
        <f t="shared" ref="E13" si="16">SUM(E11:E12)</f>
        <v>8</v>
      </c>
      <c r="F13" s="13">
        <f>SUM(F11:F12)</f>
        <v>1613</v>
      </c>
      <c r="G13" s="13">
        <f t="shared" ref="G13:H13" si="17">SUM(G11:G12)</f>
        <v>56</v>
      </c>
      <c r="H13" s="13">
        <f t="shared" si="17"/>
        <v>34</v>
      </c>
      <c r="I13" s="13">
        <f>SUM(I11:I12)</f>
        <v>90</v>
      </c>
      <c r="J13" s="13">
        <f t="shared" ref="J13" si="18">SUM(J11:J12)</f>
        <v>2061</v>
      </c>
      <c r="K13" s="13">
        <f>SUM(K11:K12)</f>
        <v>5539</v>
      </c>
      <c r="L13" s="13">
        <f t="shared" si="0"/>
        <v>7600</v>
      </c>
      <c r="M13" s="13">
        <f t="shared" ref="M13" si="19">SUM(M11:M12)</f>
        <v>391</v>
      </c>
      <c r="N13" s="13">
        <f t="shared" ref="N13" si="20">SUM(N11:N12)</f>
        <v>24</v>
      </c>
      <c r="O13" s="13">
        <f>SUM(O11:O12)</f>
        <v>415</v>
      </c>
      <c r="P13" s="13">
        <f>SUM(P11:P12)</f>
        <v>9718</v>
      </c>
      <c r="Q13" s="13">
        <f t="shared" ref="Q13" si="21">SUM(Q11:Q12)</f>
        <v>455</v>
      </c>
      <c r="R13" s="12">
        <f>SUM(R11:R12)</f>
        <v>10173</v>
      </c>
    </row>
    <row r="14" spans="1:20" ht="18" customHeight="1">
      <c r="A14" s="121" t="s">
        <v>30</v>
      </c>
      <c r="B14" s="64" t="s">
        <v>27</v>
      </c>
      <c r="C14" s="8">
        <v>531</v>
      </c>
      <c r="D14" s="8">
        <v>912</v>
      </c>
      <c r="E14" s="8">
        <v>1</v>
      </c>
      <c r="F14" s="8">
        <f>SUM(C14:E14)</f>
        <v>1444</v>
      </c>
      <c r="G14" s="8">
        <v>0</v>
      </c>
      <c r="H14" s="8">
        <v>32</v>
      </c>
      <c r="I14" s="8">
        <f>SUM(G14:H14)</f>
        <v>32</v>
      </c>
      <c r="J14" s="8">
        <v>2091</v>
      </c>
      <c r="K14" s="8">
        <v>5204</v>
      </c>
      <c r="L14" s="8">
        <f t="shared" si="0"/>
        <v>7295</v>
      </c>
      <c r="M14" s="8">
        <v>366</v>
      </c>
      <c r="N14" s="8">
        <v>23</v>
      </c>
      <c r="O14" s="8">
        <f>SUM(M14:N14)</f>
        <v>389</v>
      </c>
      <c r="P14" s="8">
        <f>SUM(F14,I14,L14,O14)</f>
        <v>9160</v>
      </c>
      <c r="Q14" s="14">
        <v>444</v>
      </c>
      <c r="R14" s="7">
        <f>SUM(P14:Q14)</f>
        <v>9604</v>
      </c>
    </row>
    <row r="15" spans="1:20" ht="18" customHeight="1">
      <c r="A15" s="122"/>
      <c r="B15" s="65" t="s">
        <v>26</v>
      </c>
      <c r="C15" s="8">
        <v>79</v>
      </c>
      <c r="D15" s="8">
        <v>0</v>
      </c>
      <c r="E15" s="8">
        <v>8</v>
      </c>
      <c r="F15" s="8">
        <f>SUM(C15:E15)</f>
        <v>87</v>
      </c>
      <c r="G15" s="8">
        <v>66</v>
      </c>
      <c r="H15" s="8">
        <v>2</v>
      </c>
      <c r="I15" s="8">
        <f>SUM(G15:H15)</f>
        <v>68</v>
      </c>
      <c r="J15" s="8">
        <v>15</v>
      </c>
      <c r="K15" s="8">
        <v>319</v>
      </c>
      <c r="L15" s="8">
        <f t="shared" si="0"/>
        <v>334</v>
      </c>
      <c r="M15" s="8">
        <v>10</v>
      </c>
      <c r="N15" s="8">
        <v>0</v>
      </c>
      <c r="O15" s="8">
        <f>SUM(M15:N15)</f>
        <v>10</v>
      </c>
      <c r="P15" s="8">
        <f>SUM(F15,I15,L15,O15)</f>
        <v>499</v>
      </c>
      <c r="Q15" s="8">
        <v>0</v>
      </c>
      <c r="R15" s="7">
        <f>SUM(P15:Q15)</f>
        <v>499</v>
      </c>
      <c r="T15" s="67"/>
    </row>
    <row r="16" spans="1:20" ht="18" customHeight="1">
      <c r="A16" s="123"/>
      <c r="B16" s="66" t="s">
        <v>25</v>
      </c>
      <c r="C16" s="13">
        <f t="shared" ref="C16" si="22">SUM(C14:C15)</f>
        <v>610</v>
      </c>
      <c r="D16" s="13">
        <f t="shared" ref="D16" si="23">SUM(D14:D15)</f>
        <v>912</v>
      </c>
      <c r="E16" s="13">
        <f t="shared" ref="E16" si="24">SUM(E14:E15)</f>
        <v>9</v>
      </c>
      <c r="F16" s="13">
        <f>SUM(F14:F15)</f>
        <v>1531</v>
      </c>
      <c r="G16" s="13">
        <f t="shared" ref="G16:H16" si="25">SUM(G14:G15)</f>
        <v>66</v>
      </c>
      <c r="H16" s="13">
        <f t="shared" si="25"/>
        <v>34</v>
      </c>
      <c r="I16" s="13">
        <f>SUM(I14:I15)</f>
        <v>100</v>
      </c>
      <c r="J16" s="13">
        <f t="shared" ref="J16" si="26">SUM(J14:J15)</f>
        <v>2106</v>
      </c>
      <c r="K16" s="13">
        <f>SUM(K14:K15)</f>
        <v>5523</v>
      </c>
      <c r="L16" s="13">
        <f>SUM(L14:L15)</f>
        <v>7629</v>
      </c>
      <c r="M16" s="13">
        <f t="shared" ref="M16" si="27">SUM(M14:M15)</f>
        <v>376</v>
      </c>
      <c r="N16" s="13">
        <f t="shared" ref="N16" si="28">SUM(N14:N15)</f>
        <v>23</v>
      </c>
      <c r="O16" s="13">
        <f>SUM(O14:O15)</f>
        <v>399</v>
      </c>
      <c r="P16" s="13">
        <f>SUM(P14:P15)</f>
        <v>9659</v>
      </c>
      <c r="Q16" s="13">
        <f t="shared" ref="Q16" si="29">SUM(Q14:Q15)</f>
        <v>444</v>
      </c>
      <c r="R16" s="12">
        <f>SUM(R14:R15)</f>
        <v>10103</v>
      </c>
    </row>
    <row r="17" spans="1:21" ht="18" customHeight="1">
      <c r="A17" s="133" t="s">
        <v>29</v>
      </c>
      <c r="B17" s="68" t="s">
        <v>27</v>
      </c>
      <c r="C17" s="8">
        <v>557</v>
      </c>
      <c r="D17" s="8">
        <v>898</v>
      </c>
      <c r="E17" s="8">
        <v>1</v>
      </c>
      <c r="F17" s="8">
        <f>SUM(C17:E17)</f>
        <v>1456</v>
      </c>
      <c r="G17" s="8">
        <v>0</v>
      </c>
      <c r="H17" s="8">
        <v>35</v>
      </c>
      <c r="I17" s="8">
        <f>SUM(G17:H17)</f>
        <v>35</v>
      </c>
      <c r="J17" s="8">
        <v>2238</v>
      </c>
      <c r="K17" s="8">
        <v>5209</v>
      </c>
      <c r="L17" s="8">
        <f>SUM(J17:K17)</f>
        <v>7447</v>
      </c>
      <c r="M17" s="8">
        <v>383</v>
      </c>
      <c r="N17" s="8">
        <v>25</v>
      </c>
      <c r="O17" s="11">
        <f>SUM(M17:N17)</f>
        <v>408</v>
      </c>
      <c r="P17" s="11">
        <f>SUM(F17,I17,L17,O17)</f>
        <v>9346</v>
      </c>
      <c r="Q17" s="14">
        <v>472</v>
      </c>
      <c r="R17" s="7">
        <f>SUM(P17:Q17)</f>
        <v>9818</v>
      </c>
    </row>
    <row r="18" spans="1:21" ht="18" customHeight="1">
      <c r="A18" s="122"/>
      <c r="B18" s="69" t="s">
        <v>26</v>
      </c>
      <c r="C18" s="8">
        <v>78</v>
      </c>
      <c r="D18" s="8">
        <v>2</v>
      </c>
      <c r="E18" s="8">
        <v>8</v>
      </c>
      <c r="F18" s="8">
        <f>SUM(C18:E18)</f>
        <v>88</v>
      </c>
      <c r="G18" s="8">
        <v>65</v>
      </c>
      <c r="H18" s="8">
        <v>2</v>
      </c>
      <c r="I18" s="8">
        <f>SUM(G18:H18)</f>
        <v>67</v>
      </c>
      <c r="J18" s="8">
        <v>22</v>
      </c>
      <c r="K18" s="8">
        <v>313</v>
      </c>
      <c r="L18" s="8">
        <f>SUM(J18:K18)</f>
        <v>335</v>
      </c>
      <c r="M18" s="8">
        <v>11</v>
      </c>
      <c r="N18" s="8">
        <v>0</v>
      </c>
      <c r="O18" s="8">
        <f>SUM(M18:N18)</f>
        <v>11</v>
      </c>
      <c r="P18" s="8">
        <f>SUM(F18,I18,L18,O18)</f>
        <v>501</v>
      </c>
      <c r="Q18" s="8">
        <v>0</v>
      </c>
      <c r="R18" s="7">
        <f>SUM(P18:Q18)</f>
        <v>501</v>
      </c>
    </row>
    <row r="19" spans="1:21" ht="18" customHeight="1">
      <c r="A19" s="123"/>
      <c r="B19" s="70" t="s">
        <v>25</v>
      </c>
      <c r="C19" s="13">
        <f t="shared" ref="C19" si="30">SUM(C17:C18)</f>
        <v>635</v>
      </c>
      <c r="D19" s="13">
        <f t="shared" ref="D19" si="31">SUM(D17:D18)</f>
        <v>900</v>
      </c>
      <c r="E19" s="13">
        <f t="shared" ref="E19" si="32">SUM(E17:E18)</f>
        <v>9</v>
      </c>
      <c r="F19" s="13">
        <f>SUM(F17:F18)</f>
        <v>1544</v>
      </c>
      <c r="G19" s="13">
        <f t="shared" ref="G19:H19" si="33">SUM(G17:G18)</f>
        <v>65</v>
      </c>
      <c r="H19" s="13">
        <f t="shared" si="33"/>
        <v>37</v>
      </c>
      <c r="I19" s="13">
        <f>SUM(I17:I18)</f>
        <v>102</v>
      </c>
      <c r="J19" s="13">
        <f t="shared" ref="J19" si="34">SUM(J17:J18)</f>
        <v>2260</v>
      </c>
      <c r="K19" s="13">
        <f>SUM(K17:K18)</f>
        <v>5522</v>
      </c>
      <c r="L19" s="13">
        <f>SUM(L17:L18)</f>
        <v>7782</v>
      </c>
      <c r="M19" s="13">
        <f t="shared" ref="M19" si="35">SUM(M17:M18)</f>
        <v>394</v>
      </c>
      <c r="N19" s="13">
        <f t="shared" ref="N19" si="36">SUM(N17:N18)</f>
        <v>25</v>
      </c>
      <c r="O19" s="13">
        <f>SUM(O17:O18)</f>
        <v>419</v>
      </c>
      <c r="P19" s="13">
        <f>SUM(P17:P18)</f>
        <v>9847</v>
      </c>
      <c r="Q19" s="13">
        <f t="shared" ref="Q19" si="37">SUM(Q17:Q18)</f>
        <v>472</v>
      </c>
      <c r="R19" s="12">
        <f>SUM(R17:R18)</f>
        <v>10319</v>
      </c>
      <c r="T19" s="67"/>
    </row>
    <row r="20" spans="1:21" ht="18" customHeight="1">
      <c r="A20" s="121" t="s">
        <v>28</v>
      </c>
      <c r="B20" s="68" t="s">
        <v>27</v>
      </c>
      <c r="C20" s="11">
        <v>554</v>
      </c>
      <c r="D20" s="11">
        <v>885</v>
      </c>
      <c r="E20" s="11">
        <v>1</v>
      </c>
      <c r="F20" s="11">
        <f>SUM(C20:E20)</f>
        <v>1440</v>
      </c>
      <c r="G20" s="11">
        <v>0</v>
      </c>
      <c r="H20" s="11">
        <v>38</v>
      </c>
      <c r="I20" s="11">
        <f>SUM(G20:H20)</f>
        <v>38</v>
      </c>
      <c r="J20" s="11">
        <v>2590</v>
      </c>
      <c r="K20" s="11">
        <v>5205</v>
      </c>
      <c r="L20" s="11">
        <f>SUM(J20:K20)</f>
        <v>7795</v>
      </c>
      <c r="M20" s="11">
        <v>393</v>
      </c>
      <c r="N20" s="11">
        <v>29</v>
      </c>
      <c r="O20" s="11">
        <f>SUM(M20:N20)</f>
        <v>422</v>
      </c>
      <c r="P20" s="11">
        <f>SUM(F20,I20,L20,O20)</f>
        <v>9695</v>
      </c>
      <c r="Q20" s="10">
        <v>468</v>
      </c>
      <c r="R20" s="9">
        <f>SUM(P20:Q20)</f>
        <v>10163</v>
      </c>
    </row>
    <row r="21" spans="1:21" ht="18" customHeight="1">
      <c r="A21" s="122"/>
      <c r="B21" s="69" t="s">
        <v>26</v>
      </c>
      <c r="C21" s="8">
        <v>71</v>
      </c>
      <c r="D21" s="8">
        <v>2</v>
      </c>
      <c r="E21" s="8">
        <v>4</v>
      </c>
      <c r="F21" s="8">
        <f>SUM(C21:E21)</f>
        <v>77</v>
      </c>
      <c r="G21" s="8">
        <v>68</v>
      </c>
      <c r="H21" s="8">
        <v>2</v>
      </c>
      <c r="I21" s="8">
        <f>SUM(G21:H21)</f>
        <v>70</v>
      </c>
      <c r="J21" s="8">
        <v>31</v>
      </c>
      <c r="K21" s="8">
        <v>303</v>
      </c>
      <c r="L21" s="8">
        <f>SUM(J21:K21)</f>
        <v>334</v>
      </c>
      <c r="M21" s="8">
        <v>15</v>
      </c>
      <c r="N21" s="8">
        <v>0</v>
      </c>
      <c r="O21" s="8">
        <f>SUM(M21:N21)</f>
        <v>15</v>
      </c>
      <c r="P21" s="8">
        <f>SUM(F21,I21,L21,O21)</f>
        <v>496</v>
      </c>
      <c r="Q21" s="8">
        <v>0</v>
      </c>
      <c r="R21" s="7">
        <f>SUM(P21:Q21)</f>
        <v>496</v>
      </c>
    </row>
    <row r="22" spans="1:21" ht="18" customHeight="1">
      <c r="A22" s="123"/>
      <c r="B22" s="70" t="s">
        <v>25</v>
      </c>
      <c r="C22" s="13">
        <f t="shared" ref="C22" si="38">SUM(C20:C21)</f>
        <v>625</v>
      </c>
      <c r="D22" s="13">
        <f t="shared" ref="D22" si="39">SUM(D20:D21)</f>
        <v>887</v>
      </c>
      <c r="E22" s="13">
        <f t="shared" ref="E22" si="40">SUM(E20:E21)</f>
        <v>5</v>
      </c>
      <c r="F22" s="13">
        <f>SUM(F20:F21)</f>
        <v>1517</v>
      </c>
      <c r="G22" s="13">
        <f t="shared" ref="G22:H22" si="41">SUM(G20:G21)</f>
        <v>68</v>
      </c>
      <c r="H22" s="13">
        <f t="shared" si="41"/>
        <v>40</v>
      </c>
      <c r="I22" s="13">
        <f>SUM(I20:I21)</f>
        <v>108</v>
      </c>
      <c r="J22" s="13">
        <f t="shared" ref="J22" si="42">SUM(J20:J21)</f>
        <v>2621</v>
      </c>
      <c r="K22" s="13">
        <f>SUM(K20:K21)</f>
        <v>5508</v>
      </c>
      <c r="L22" s="13">
        <f>SUM(L20:L21)</f>
        <v>8129</v>
      </c>
      <c r="M22" s="13">
        <f t="shared" ref="M22" si="43">SUM(M20:M21)</f>
        <v>408</v>
      </c>
      <c r="N22" s="13">
        <f t="shared" ref="N22" si="44">SUM(N20:N21)</f>
        <v>29</v>
      </c>
      <c r="O22" s="13">
        <f>SUM(O20:O21)</f>
        <v>437</v>
      </c>
      <c r="P22" s="13">
        <f>SUM(P20:P21)</f>
        <v>10191</v>
      </c>
      <c r="Q22" s="13">
        <f t="shared" ref="Q22" si="45">SUM(Q20:Q21)</f>
        <v>468</v>
      </c>
      <c r="R22" s="12">
        <f>SUM(R20:R21)</f>
        <v>10659</v>
      </c>
    </row>
    <row r="23" spans="1:21" ht="18" customHeight="1">
      <c r="A23" s="133" t="s">
        <v>159</v>
      </c>
      <c r="B23" s="64" t="s">
        <v>27</v>
      </c>
      <c r="C23" s="8">
        <v>564</v>
      </c>
      <c r="D23" s="8">
        <v>943</v>
      </c>
      <c r="E23" s="8">
        <v>1</v>
      </c>
      <c r="F23" s="8">
        <f>SUM(C23:E23)</f>
        <v>1508</v>
      </c>
      <c r="G23" s="8">
        <v>0</v>
      </c>
      <c r="H23" s="8">
        <v>40</v>
      </c>
      <c r="I23" s="8">
        <f>SUM(G23:H23)</f>
        <v>40</v>
      </c>
      <c r="J23" s="8">
        <v>2531</v>
      </c>
      <c r="K23" s="8">
        <v>5224</v>
      </c>
      <c r="L23" s="8">
        <f t="shared" ref="L23:L24" si="46">SUM(J23:K23)</f>
        <v>7755</v>
      </c>
      <c r="M23" s="8">
        <v>385</v>
      </c>
      <c r="N23" s="8">
        <v>34</v>
      </c>
      <c r="O23" s="8">
        <f>SUM(M23:N23)</f>
        <v>419</v>
      </c>
      <c r="P23" s="8">
        <f>SUM(F23,I23,L23,O23)</f>
        <v>9722</v>
      </c>
      <c r="Q23" s="14">
        <v>479</v>
      </c>
      <c r="R23" s="7">
        <f>SUM(P23:Q23)</f>
        <v>10201</v>
      </c>
    </row>
    <row r="24" spans="1:21" ht="18" customHeight="1">
      <c r="A24" s="122"/>
      <c r="B24" s="65" t="s">
        <v>26</v>
      </c>
      <c r="C24" s="8">
        <v>74</v>
      </c>
      <c r="D24" s="8">
        <v>4</v>
      </c>
      <c r="E24" s="8">
        <v>4</v>
      </c>
      <c r="F24" s="8">
        <f>SUM(C24:E24)</f>
        <v>82</v>
      </c>
      <c r="G24" s="8">
        <v>64</v>
      </c>
      <c r="H24" s="8">
        <v>2</v>
      </c>
      <c r="I24" s="8">
        <f>SUM(G24:H24)</f>
        <v>66</v>
      </c>
      <c r="J24" s="8">
        <v>43</v>
      </c>
      <c r="K24" s="8">
        <v>288</v>
      </c>
      <c r="L24" s="8">
        <f t="shared" si="46"/>
        <v>331</v>
      </c>
      <c r="M24" s="8">
        <v>14</v>
      </c>
      <c r="N24" s="8">
        <v>0</v>
      </c>
      <c r="O24" s="8">
        <f>SUM(M24:N24)</f>
        <v>14</v>
      </c>
      <c r="P24" s="8">
        <f>SUM(F24,I24,L24,O24)</f>
        <v>493</v>
      </c>
      <c r="Q24" s="8">
        <v>0</v>
      </c>
      <c r="R24" s="7">
        <f>SUM(P24:Q24)</f>
        <v>493</v>
      </c>
      <c r="T24" s="67"/>
    </row>
    <row r="25" spans="1:21" ht="18" customHeight="1">
      <c r="A25" s="123"/>
      <c r="B25" s="66" t="s">
        <v>25</v>
      </c>
      <c r="C25" s="13">
        <f t="shared" ref="C25" si="47">SUM(C23:C24)</f>
        <v>638</v>
      </c>
      <c r="D25" s="13">
        <f t="shared" ref="D25" si="48">SUM(D23:D24)</f>
        <v>947</v>
      </c>
      <c r="E25" s="13">
        <f t="shared" ref="E25" si="49">SUM(E23:E24)</f>
        <v>5</v>
      </c>
      <c r="F25" s="13">
        <f>SUM(F23:F24)</f>
        <v>1590</v>
      </c>
      <c r="G25" s="13">
        <f t="shared" ref="G25:H25" si="50">SUM(G23:G24)</f>
        <v>64</v>
      </c>
      <c r="H25" s="13">
        <f t="shared" si="50"/>
        <v>42</v>
      </c>
      <c r="I25" s="13">
        <f>SUM(I23:I24)</f>
        <v>106</v>
      </c>
      <c r="J25" s="13">
        <f t="shared" ref="J25" si="51">SUM(J23:J24)</f>
        <v>2574</v>
      </c>
      <c r="K25" s="13">
        <f>SUM(K23:K24)</f>
        <v>5512</v>
      </c>
      <c r="L25" s="13">
        <f>SUM(L23:L24)</f>
        <v>8086</v>
      </c>
      <c r="M25" s="13">
        <f t="shared" ref="M25" si="52">SUM(M23:M24)</f>
        <v>399</v>
      </c>
      <c r="N25" s="13">
        <f t="shared" ref="N25" si="53">SUM(N23:N24)</f>
        <v>34</v>
      </c>
      <c r="O25" s="13">
        <f>SUM(O23:O24)</f>
        <v>433</v>
      </c>
      <c r="P25" s="13">
        <f>SUM(P23:P24)</f>
        <v>10215</v>
      </c>
      <c r="Q25" s="13">
        <f t="shared" ref="Q25" si="54">SUM(Q23:Q24)</f>
        <v>479</v>
      </c>
      <c r="R25" s="12">
        <f>SUM(R23:R24)</f>
        <v>10694</v>
      </c>
      <c r="U25" s="67"/>
    </row>
    <row r="26" spans="1:21" ht="18" customHeight="1">
      <c r="A26" s="121" t="s">
        <v>160</v>
      </c>
      <c r="B26" s="69" t="s">
        <v>27</v>
      </c>
      <c r="C26" s="8">
        <v>571</v>
      </c>
      <c r="D26" s="8">
        <v>934</v>
      </c>
      <c r="E26" s="8">
        <v>1</v>
      </c>
      <c r="F26" s="8">
        <f>SUM(C26:E26)</f>
        <v>1506</v>
      </c>
      <c r="G26" s="8">
        <v>0</v>
      </c>
      <c r="H26" s="8">
        <v>39</v>
      </c>
      <c r="I26" s="8">
        <f>SUM(G26:H26)</f>
        <v>39</v>
      </c>
      <c r="J26" s="8">
        <v>2739</v>
      </c>
      <c r="K26" s="8">
        <v>5217</v>
      </c>
      <c r="L26" s="8">
        <f>SUM(J26:K26)</f>
        <v>7956</v>
      </c>
      <c r="M26" s="8">
        <v>388</v>
      </c>
      <c r="N26" s="8">
        <v>37</v>
      </c>
      <c r="O26" s="11">
        <f>SUM(M26:N26)</f>
        <v>425</v>
      </c>
      <c r="P26" s="11">
        <f>SUM(F26,I26,L26,O26)</f>
        <v>9926</v>
      </c>
      <c r="Q26" s="14">
        <v>515</v>
      </c>
      <c r="R26" s="7">
        <f>SUM(P26:Q26)</f>
        <v>10441</v>
      </c>
    </row>
    <row r="27" spans="1:21" ht="18" customHeight="1">
      <c r="A27" s="122"/>
      <c r="B27" s="69" t="s">
        <v>26</v>
      </c>
      <c r="C27" s="8">
        <v>81</v>
      </c>
      <c r="D27" s="8">
        <v>8</v>
      </c>
      <c r="E27" s="8">
        <v>5</v>
      </c>
      <c r="F27" s="8">
        <f>SUM(C27:E27)</f>
        <v>94</v>
      </c>
      <c r="G27" s="8">
        <v>64</v>
      </c>
      <c r="H27" s="8">
        <v>2</v>
      </c>
      <c r="I27" s="8">
        <f>SUM(G27:H27)</f>
        <v>66</v>
      </c>
      <c r="J27" s="8">
        <v>53</v>
      </c>
      <c r="K27" s="8">
        <v>285</v>
      </c>
      <c r="L27" s="8">
        <f>SUM(J27:K27)</f>
        <v>338</v>
      </c>
      <c r="M27" s="8">
        <v>13</v>
      </c>
      <c r="N27" s="8">
        <v>0</v>
      </c>
      <c r="O27" s="8">
        <f>SUM(M27:N27)</f>
        <v>13</v>
      </c>
      <c r="P27" s="8">
        <f>SUM(F27,I27,L27,O27)</f>
        <v>511</v>
      </c>
      <c r="Q27" s="8">
        <v>0</v>
      </c>
      <c r="R27" s="7">
        <f>SUM(P27:Q27)</f>
        <v>511</v>
      </c>
    </row>
    <row r="28" spans="1:21" ht="18" customHeight="1">
      <c r="A28" s="123"/>
      <c r="B28" s="70" t="s">
        <v>25</v>
      </c>
      <c r="C28" s="13">
        <f t="shared" ref="C28" si="55">SUM(C26:C27)</f>
        <v>652</v>
      </c>
      <c r="D28" s="13">
        <f t="shared" ref="D28" si="56">SUM(D26:D27)</f>
        <v>942</v>
      </c>
      <c r="E28" s="13">
        <f t="shared" ref="E28" si="57">SUM(E26:E27)</f>
        <v>6</v>
      </c>
      <c r="F28" s="13">
        <f>SUM(F26:F27)</f>
        <v>1600</v>
      </c>
      <c r="G28" s="13">
        <f t="shared" ref="G28:H28" si="58">SUM(G26:G27)</f>
        <v>64</v>
      </c>
      <c r="H28" s="13">
        <f t="shared" si="58"/>
        <v>41</v>
      </c>
      <c r="I28" s="13">
        <f>SUM(I26:I27)</f>
        <v>105</v>
      </c>
      <c r="J28" s="13">
        <f t="shared" ref="J28" si="59">SUM(J26:J27)</f>
        <v>2792</v>
      </c>
      <c r="K28" s="13">
        <f>SUM(K26:K27)</f>
        <v>5502</v>
      </c>
      <c r="L28" s="13">
        <f>SUM(L26:L27)</f>
        <v>8294</v>
      </c>
      <c r="M28" s="13">
        <f t="shared" ref="M28" si="60">SUM(M26:M27)</f>
        <v>401</v>
      </c>
      <c r="N28" s="13">
        <f t="shared" ref="N28" si="61">SUM(N26:N27)</f>
        <v>37</v>
      </c>
      <c r="O28" s="13">
        <f>SUM(O26:O27)</f>
        <v>438</v>
      </c>
      <c r="P28" s="13">
        <f>SUM(P26:P27)</f>
        <v>10437</v>
      </c>
      <c r="Q28" s="13">
        <f t="shared" ref="Q28" si="62">SUM(Q26:Q27)</f>
        <v>515</v>
      </c>
      <c r="R28" s="12">
        <f>SUM(R26:R27)</f>
        <v>10952</v>
      </c>
    </row>
    <row r="29" spans="1:21" ht="18" customHeight="1">
      <c r="A29" s="121" t="s">
        <v>161</v>
      </c>
      <c r="B29" s="68" t="s">
        <v>27</v>
      </c>
      <c r="C29" s="11">
        <v>583</v>
      </c>
      <c r="D29" s="11">
        <v>942</v>
      </c>
      <c r="E29" s="11">
        <v>1</v>
      </c>
      <c r="F29" s="11">
        <f>SUM(C29:E29)</f>
        <v>1526</v>
      </c>
      <c r="G29" s="11">
        <v>0</v>
      </c>
      <c r="H29" s="11">
        <v>40</v>
      </c>
      <c r="I29" s="11">
        <f>SUM(G29:H29)</f>
        <v>40</v>
      </c>
      <c r="J29" s="11">
        <v>3110</v>
      </c>
      <c r="K29" s="11">
        <v>5591</v>
      </c>
      <c r="L29" s="11">
        <f>SUM(J29:K29)</f>
        <v>8701</v>
      </c>
      <c r="M29" s="11">
        <v>393</v>
      </c>
      <c r="N29" s="11">
        <v>39</v>
      </c>
      <c r="O29" s="11">
        <f>SUM(M29:N29)</f>
        <v>432</v>
      </c>
      <c r="P29" s="11">
        <f>SUM(F29,I29,L29,O29)</f>
        <v>10699</v>
      </c>
      <c r="Q29" s="10">
        <v>551</v>
      </c>
      <c r="R29" s="9">
        <f>SUM(P29:Q29)</f>
        <v>11250</v>
      </c>
    </row>
    <row r="30" spans="1:21" ht="18" customHeight="1">
      <c r="A30" s="122"/>
      <c r="B30" s="69" t="s">
        <v>26</v>
      </c>
      <c r="C30" s="8">
        <v>75</v>
      </c>
      <c r="D30" s="8">
        <v>6</v>
      </c>
      <c r="E30" s="8">
        <v>4</v>
      </c>
      <c r="F30" s="8">
        <f>SUM(C30:E30)</f>
        <v>85</v>
      </c>
      <c r="G30" s="8">
        <v>69</v>
      </c>
      <c r="H30" s="8">
        <v>1</v>
      </c>
      <c r="I30" s="8">
        <f>SUM(G30:H30)</f>
        <v>70</v>
      </c>
      <c r="J30" s="8">
        <v>52</v>
      </c>
      <c r="K30" s="8">
        <v>289</v>
      </c>
      <c r="L30" s="8">
        <f>SUM(J30:K30)</f>
        <v>341</v>
      </c>
      <c r="M30" s="8">
        <v>12</v>
      </c>
      <c r="N30" s="8">
        <v>0</v>
      </c>
      <c r="O30" s="8">
        <f>SUM(M30:N30)</f>
        <v>12</v>
      </c>
      <c r="P30" s="8">
        <f>SUM(F30,I30,L30,O30)</f>
        <v>508</v>
      </c>
      <c r="Q30" s="8">
        <v>508</v>
      </c>
      <c r="R30" s="7">
        <f>SUM(P30:Q30)</f>
        <v>1016</v>
      </c>
      <c r="U30" s="67"/>
    </row>
    <row r="31" spans="1:21" ht="18" customHeight="1">
      <c r="A31" s="134"/>
      <c r="B31" s="71" t="s">
        <v>25</v>
      </c>
      <c r="C31" s="6">
        <f t="shared" ref="C31" si="63">SUM(C29:C30)</f>
        <v>658</v>
      </c>
      <c r="D31" s="6">
        <f t="shared" ref="D31" si="64">SUM(D29:D30)</f>
        <v>948</v>
      </c>
      <c r="E31" s="6">
        <f t="shared" ref="E31" si="65">SUM(E29:E30)</f>
        <v>5</v>
      </c>
      <c r="F31" s="6">
        <f>SUM(F29:F30)</f>
        <v>1611</v>
      </c>
      <c r="G31" s="6">
        <f t="shared" ref="G31:H31" si="66">SUM(G29:G30)</f>
        <v>69</v>
      </c>
      <c r="H31" s="6">
        <f t="shared" si="66"/>
        <v>41</v>
      </c>
      <c r="I31" s="6">
        <f>SUM(I29:I30)</f>
        <v>110</v>
      </c>
      <c r="J31" s="6">
        <f t="shared" ref="J31" si="67">SUM(J29:J30)</f>
        <v>3162</v>
      </c>
      <c r="K31" s="6">
        <f>SUM(K29:K30)</f>
        <v>5880</v>
      </c>
      <c r="L31" s="6">
        <f>SUM(L29:L30)</f>
        <v>9042</v>
      </c>
      <c r="M31" s="6">
        <f t="shared" ref="M31" si="68">SUM(M29:M30)</f>
        <v>405</v>
      </c>
      <c r="N31" s="6">
        <f t="shared" ref="N31" si="69">SUM(N29:N30)</f>
        <v>39</v>
      </c>
      <c r="O31" s="6">
        <f>SUM(O29:O30)</f>
        <v>444</v>
      </c>
      <c r="P31" s="6">
        <f>SUM(P29:P30)</f>
        <v>11207</v>
      </c>
      <c r="Q31" s="6">
        <f t="shared" ref="Q31" si="70">SUM(Q29:Q30)</f>
        <v>1059</v>
      </c>
      <c r="R31" s="5">
        <f>SUM(R29:R30)</f>
        <v>12266</v>
      </c>
      <c r="U31" s="67"/>
    </row>
    <row r="32" spans="1:21" ht="15.75" customHeight="1">
      <c r="O32" s="51"/>
      <c r="P32" s="51"/>
      <c r="Q32" s="51"/>
      <c r="R32" s="72" t="s">
        <v>162</v>
      </c>
    </row>
    <row r="36" spans="1:18" ht="17.25">
      <c r="A36" s="73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</row>
    <row r="37" spans="1:18" ht="17.25">
      <c r="A37" s="73"/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</row>
    <row r="38" spans="1:18" ht="17.25">
      <c r="A38" s="73"/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</row>
    <row r="39" spans="1:18" ht="17.25">
      <c r="A39" s="73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</row>
    <row r="40" spans="1:18" ht="17.25">
      <c r="A40" s="73"/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</row>
    <row r="41" spans="1:18" ht="17.25">
      <c r="A41" s="73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</row>
    <row r="42" spans="1:18" ht="17.25">
      <c r="A42" s="73"/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</row>
    <row r="43" spans="1:18" ht="17.25">
      <c r="A43" s="73"/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</row>
    <row r="44" spans="1:18" ht="17.25">
      <c r="A44" s="73"/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</row>
    <row r="45" spans="1:18" ht="17.25">
      <c r="A45" s="73"/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</row>
    <row r="46" spans="1:18" ht="17.25">
      <c r="A46" s="73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</row>
    <row r="47" spans="1:18" ht="17.25">
      <c r="A47" s="73"/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</row>
    <row r="48" spans="1:18" ht="17.25">
      <c r="A48" s="73"/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</row>
    <row r="49" spans="1:18" ht="17.25">
      <c r="A49" s="73"/>
      <c r="B49" s="73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</row>
    <row r="50" spans="1:18" ht="17.25">
      <c r="A50" s="73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</row>
    <row r="51" spans="1:18" ht="17.25">
      <c r="A51" s="73"/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</row>
    <row r="52" spans="1:18" ht="17.25">
      <c r="A52" s="73"/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</row>
    <row r="53" spans="1:18" ht="17.25">
      <c r="A53" s="73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</row>
    <row r="54" spans="1:18" ht="17.25">
      <c r="A54" s="73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</row>
    <row r="55" spans="1:18" ht="17.25">
      <c r="A55" s="73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</row>
    <row r="56" spans="1:18" ht="17.25">
      <c r="A56" s="73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</row>
    <row r="57" spans="1:18" ht="17.25">
      <c r="A57" s="73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</row>
    <row r="58" spans="1:18" ht="17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</row>
    <row r="59" spans="1:18" ht="17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</row>
    <row r="60" spans="1:18" ht="17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</row>
    <row r="61" spans="1:18" ht="17.25">
      <c r="A61" s="73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</row>
    <row r="62" spans="1:18" ht="17.25">
      <c r="A62" s="73"/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</row>
    <row r="63" spans="1:18" ht="17.25">
      <c r="A63" s="73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</row>
    <row r="64" spans="1:18" ht="17.25">
      <c r="A64" s="73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</row>
    <row r="65" spans="1:18" ht="17.25">
      <c r="A65" s="73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</row>
    <row r="66" spans="1:18" ht="17.25">
      <c r="A66" s="73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</row>
    <row r="67" spans="1:18" ht="17.25">
      <c r="A67" s="73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</row>
    <row r="68" spans="1:18" ht="17.25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</row>
    <row r="69" spans="1:18" ht="17.25">
      <c r="A69" s="73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</row>
    <row r="70" spans="1:18" ht="17.25">
      <c r="A70" s="73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</row>
    <row r="71" spans="1:18" ht="17.25">
      <c r="A71" s="73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</row>
    <row r="72" spans="1:18" ht="17.25">
      <c r="A72" s="73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</row>
    <row r="73" spans="1:18" ht="17.25">
      <c r="A73" s="73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</row>
    <row r="74" spans="1:18" ht="17.25">
      <c r="A74" s="73"/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</row>
  </sheetData>
  <mergeCells count="17">
    <mergeCell ref="A17:A19"/>
    <mergeCell ref="A20:A22"/>
    <mergeCell ref="A23:A25"/>
    <mergeCell ref="A26:A28"/>
    <mergeCell ref="A29:A31"/>
    <mergeCell ref="Q3:Q4"/>
    <mergeCell ref="R3:R4"/>
    <mergeCell ref="A5:A7"/>
    <mergeCell ref="A8:A10"/>
    <mergeCell ref="A11:A13"/>
    <mergeCell ref="M3:O3"/>
    <mergeCell ref="P3:P4"/>
    <mergeCell ref="A14:A16"/>
    <mergeCell ref="B3:B4"/>
    <mergeCell ref="C3:F3"/>
    <mergeCell ref="G3:I3"/>
    <mergeCell ref="J3:L3"/>
  </mergeCells>
  <phoneticPr fontId="2"/>
  <printOptions gridLinesSet="0"/>
  <pageMargins left="0.59055118110236227" right="0.59055118110236227" top="0.59055118110236227" bottom="0.59055118110236227" header="0.31496062992125984" footer="0.31496062992125984"/>
  <pageSetup paperSize="9" scale="98" firstPageNumber="96" orientation="landscape" useFirstPageNumber="1" horizontalDpi="4294967292" verticalDpi="1200" r:id="rId1"/>
  <headerFooter alignWithMargins="0">
    <oddHeader>&amp;L&amp;10運輸および通信</oddHeader>
    <oddFooter>&amp;C－&amp;P－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opLeftCell="A10" zoomScaleNormal="100" workbookViewId="0">
      <selection activeCell="O15" sqref="O15"/>
    </sheetView>
  </sheetViews>
  <sheetFormatPr defaultColWidth="10.875" defaultRowHeight="13.5"/>
  <cols>
    <col min="1" max="1" width="0.625" style="52" customWidth="1"/>
    <col min="2" max="2" width="6.625" style="52" customWidth="1"/>
    <col min="3" max="3" width="6.75" style="52" customWidth="1"/>
    <col min="4" max="4" width="0.625" style="52" customWidth="1"/>
    <col min="5" max="6" width="9.25" style="52" customWidth="1"/>
    <col min="7" max="8" width="9.375" style="52" customWidth="1"/>
    <col min="9" max="9" width="9.25" style="52" customWidth="1"/>
    <col min="10" max="11" width="8.125" style="52" customWidth="1"/>
    <col min="12" max="15" width="9.25" style="52" customWidth="1"/>
    <col min="16" max="16" width="11.125" style="52" customWidth="1"/>
    <col min="17" max="17" width="9.25" style="52" customWidth="1"/>
    <col min="18" max="16384" width="10.875" style="52"/>
  </cols>
  <sheetData>
    <row r="1" spans="1:19" ht="21" customHeight="1">
      <c r="A1" s="51" t="s">
        <v>169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2" spans="1:19" ht="18" customHeight="1"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Q2" s="54" t="s">
        <v>170</v>
      </c>
    </row>
    <row r="3" spans="1:19" ht="15.75" customHeight="1">
      <c r="A3" s="74"/>
      <c r="B3" s="75"/>
      <c r="C3" s="76" t="s">
        <v>49</v>
      </c>
      <c r="D3" s="77"/>
      <c r="E3" s="135" t="s">
        <v>75</v>
      </c>
      <c r="F3" s="136"/>
      <c r="G3" s="136"/>
      <c r="H3" s="137"/>
      <c r="I3" s="135" t="s">
        <v>171</v>
      </c>
      <c r="J3" s="138"/>
      <c r="K3" s="135" t="s">
        <v>172</v>
      </c>
      <c r="L3" s="136"/>
      <c r="M3" s="136"/>
      <c r="N3" s="136"/>
      <c r="O3" s="136"/>
      <c r="P3" s="138"/>
      <c r="Q3" s="139" t="s">
        <v>173</v>
      </c>
    </row>
    <row r="4" spans="1:19" ht="15.75" customHeight="1">
      <c r="A4" s="78"/>
      <c r="B4" s="72"/>
      <c r="C4" s="72"/>
      <c r="D4" s="79"/>
      <c r="E4" s="142" t="s">
        <v>174</v>
      </c>
      <c r="F4" s="142" t="s">
        <v>175</v>
      </c>
      <c r="G4" s="142" t="s">
        <v>176</v>
      </c>
      <c r="H4" s="142" t="s">
        <v>74</v>
      </c>
      <c r="I4" s="144" t="s">
        <v>177</v>
      </c>
      <c r="J4" s="144" t="s">
        <v>178</v>
      </c>
      <c r="K4" s="144" t="s">
        <v>179</v>
      </c>
      <c r="L4" s="146" t="s">
        <v>73</v>
      </c>
      <c r="M4" s="147"/>
      <c r="N4" s="146" t="s">
        <v>72</v>
      </c>
      <c r="O4" s="147"/>
      <c r="P4" s="148" t="s">
        <v>180</v>
      </c>
      <c r="Q4" s="140"/>
      <c r="S4" s="67"/>
    </row>
    <row r="5" spans="1:19" ht="26.25" customHeight="1">
      <c r="A5" s="78"/>
      <c r="B5" s="80" t="s">
        <v>71</v>
      </c>
      <c r="C5" s="81"/>
      <c r="D5" s="82"/>
      <c r="E5" s="143"/>
      <c r="F5" s="143"/>
      <c r="G5" s="143"/>
      <c r="H5" s="143"/>
      <c r="I5" s="125"/>
      <c r="J5" s="125"/>
      <c r="K5" s="125"/>
      <c r="L5" s="83" t="s">
        <v>181</v>
      </c>
      <c r="M5" s="83" t="s">
        <v>70</v>
      </c>
      <c r="N5" s="83" t="s">
        <v>27</v>
      </c>
      <c r="O5" s="83" t="s">
        <v>70</v>
      </c>
      <c r="P5" s="149"/>
      <c r="Q5" s="141"/>
    </row>
    <row r="6" spans="1:19" ht="15.95" customHeight="1">
      <c r="A6" s="84"/>
      <c r="B6" s="145" t="s">
        <v>182</v>
      </c>
      <c r="C6" s="145"/>
      <c r="D6" s="85"/>
      <c r="E6" s="15">
        <v>2705</v>
      </c>
      <c r="F6" s="15">
        <v>305</v>
      </c>
      <c r="G6" s="15">
        <v>840</v>
      </c>
      <c r="H6" s="15">
        <v>23</v>
      </c>
      <c r="I6" s="15">
        <v>74</v>
      </c>
      <c r="J6" s="15">
        <v>7</v>
      </c>
      <c r="K6" s="15">
        <v>948</v>
      </c>
      <c r="L6" s="15">
        <v>9010</v>
      </c>
      <c r="M6" s="15">
        <v>2</v>
      </c>
      <c r="N6" s="15">
        <v>2812</v>
      </c>
      <c r="O6" s="15">
        <v>38</v>
      </c>
      <c r="P6" s="15">
        <v>436</v>
      </c>
      <c r="Q6" s="86">
        <f t="shared" ref="Q6:Q15" si="0">SUM(E6:P6)</f>
        <v>17200</v>
      </c>
    </row>
    <row r="7" spans="1:19" ht="15.95" customHeight="1">
      <c r="A7" s="84"/>
      <c r="B7" s="145" t="s">
        <v>183</v>
      </c>
      <c r="C7" s="145"/>
      <c r="D7" s="85"/>
      <c r="E7" s="15">
        <v>2671</v>
      </c>
      <c r="F7" s="15">
        <v>286</v>
      </c>
      <c r="G7" s="15">
        <v>922</v>
      </c>
      <c r="H7" s="15">
        <v>20</v>
      </c>
      <c r="I7" s="15">
        <v>77</v>
      </c>
      <c r="J7" s="15">
        <v>7</v>
      </c>
      <c r="K7" s="15">
        <v>992</v>
      </c>
      <c r="L7" s="15">
        <v>9518</v>
      </c>
      <c r="M7" s="15">
        <v>4</v>
      </c>
      <c r="N7" s="15">
        <v>2787</v>
      </c>
      <c r="O7" s="15">
        <v>30</v>
      </c>
      <c r="P7" s="15">
        <v>437</v>
      </c>
      <c r="Q7" s="86">
        <f t="shared" si="0"/>
        <v>17751</v>
      </c>
    </row>
    <row r="8" spans="1:19" ht="15.95" customHeight="1">
      <c r="A8" s="84"/>
      <c r="B8" s="145" t="s">
        <v>184</v>
      </c>
      <c r="C8" s="145"/>
      <c r="D8" s="85"/>
      <c r="E8" s="15">
        <v>2565</v>
      </c>
      <c r="F8" s="15">
        <v>258</v>
      </c>
      <c r="G8" s="15">
        <v>1015</v>
      </c>
      <c r="H8" s="15">
        <v>17</v>
      </c>
      <c r="I8" s="15">
        <v>76</v>
      </c>
      <c r="J8" s="15">
        <v>8</v>
      </c>
      <c r="K8" s="15">
        <v>990</v>
      </c>
      <c r="L8" s="15">
        <v>10053</v>
      </c>
      <c r="M8" s="15">
        <v>5</v>
      </c>
      <c r="N8" s="15">
        <v>2800</v>
      </c>
      <c r="O8" s="15">
        <v>34</v>
      </c>
      <c r="P8" s="15">
        <v>459</v>
      </c>
      <c r="Q8" s="86">
        <f t="shared" si="0"/>
        <v>18280</v>
      </c>
    </row>
    <row r="9" spans="1:19" ht="15.95" customHeight="1">
      <c r="A9" s="84"/>
      <c r="B9" s="145" t="s">
        <v>185</v>
      </c>
      <c r="C9" s="145"/>
      <c r="D9" s="85"/>
      <c r="E9" s="15">
        <v>2535</v>
      </c>
      <c r="F9" s="15">
        <v>237</v>
      </c>
      <c r="G9" s="15">
        <v>1109</v>
      </c>
      <c r="H9" s="15">
        <v>20</v>
      </c>
      <c r="I9" s="15">
        <v>75</v>
      </c>
      <c r="J9" s="15">
        <v>8</v>
      </c>
      <c r="K9" s="15">
        <v>962</v>
      </c>
      <c r="L9" s="15">
        <v>10440</v>
      </c>
      <c r="M9" s="15">
        <v>4</v>
      </c>
      <c r="N9" s="15">
        <v>2748</v>
      </c>
      <c r="O9" s="15">
        <v>34</v>
      </c>
      <c r="P9" s="15">
        <v>448</v>
      </c>
      <c r="Q9" s="86">
        <f t="shared" si="0"/>
        <v>18620</v>
      </c>
    </row>
    <row r="10" spans="1:19" ht="15.95" customHeight="1">
      <c r="A10" s="84"/>
      <c r="B10" s="145" t="s">
        <v>186</v>
      </c>
      <c r="C10" s="145"/>
      <c r="D10" s="85"/>
      <c r="E10" s="15">
        <v>2472</v>
      </c>
      <c r="F10" s="15">
        <v>210</v>
      </c>
      <c r="G10" s="15">
        <v>1200</v>
      </c>
      <c r="H10" s="15">
        <v>17</v>
      </c>
      <c r="I10" s="15">
        <v>76</v>
      </c>
      <c r="J10" s="15">
        <v>7</v>
      </c>
      <c r="K10" s="15">
        <v>1012</v>
      </c>
      <c r="L10" s="15">
        <v>10813</v>
      </c>
      <c r="M10" s="15">
        <v>3</v>
      </c>
      <c r="N10" s="15">
        <v>2687</v>
      </c>
      <c r="O10" s="15">
        <v>34</v>
      </c>
      <c r="P10" s="15">
        <v>438</v>
      </c>
      <c r="Q10" s="86">
        <f t="shared" si="0"/>
        <v>18969</v>
      </c>
    </row>
    <row r="11" spans="1:19" ht="15.95" customHeight="1">
      <c r="A11" s="84"/>
      <c r="B11" s="145" t="s">
        <v>187</v>
      </c>
      <c r="C11" s="145"/>
      <c r="D11" s="85"/>
      <c r="E11" s="15">
        <v>2397</v>
      </c>
      <c r="F11" s="15">
        <v>199</v>
      </c>
      <c r="G11" s="15">
        <v>1292</v>
      </c>
      <c r="H11" s="15">
        <v>20</v>
      </c>
      <c r="I11" s="15">
        <v>78</v>
      </c>
      <c r="J11" s="15">
        <v>7</v>
      </c>
      <c r="K11" s="15">
        <v>1005</v>
      </c>
      <c r="L11" s="15">
        <v>11234</v>
      </c>
      <c r="M11" s="15">
        <v>6</v>
      </c>
      <c r="N11" s="15">
        <v>2659</v>
      </c>
      <c r="O11" s="15">
        <v>38</v>
      </c>
      <c r="P11" s="15">
        <v>464</v>
      </c>
      <c r="Q11" s="86">
        <f t="shared" si="0"/>
        <v>19399</v>
      </c>
    </row>
    <row r="12" spans="1:19" ht="15.95" customHeight="1">
      <c r="A12" s="84"/>
      <c r="B12" s="145" t="s">
        <v>188</v>
      </c>
      <c r="C12" s="145"/>
      <c r="D12" s="85"/>
      <c r="E12" s="15">
        <v>2354</v>
      </c>
      <c r="F12" s="15">
        <v>177</v>
      </c>
      <c r="G12" s="15">
        <v>1385</v>
      </c>
      <c r="H12" s="15">
        <v>17</v>
      </c>
      <c r="I12" s="15">
        <v>78</v>
      </c>
      <c r="J12" s="15">
        <v>7</v>
      </c>
      <c r="K12" s="15">
        <v>1031</v>
      </c>
      <c r="L12" s="15">
        <v>11634</v>
      </c>
      <c r="M12" s="15">
        <v>5</v>
      </c>
      <c r="N12" s="15">
        <v>2617</v>
      </c>
      <c r="O12" s="15">
        <v>37</v>
      </c>
      <c r="P12" s="15">
        <v>461</v>
      </c>
      <c r="Q12" s="86">
        <f t="shared" si="0"/>
        <v>19803</v>
      </c>
    </row>
    <row r="13" spans="1:19" ht="15.95" customHeight="1">
      <c r="A13" s="84"/>
      <c r="B13" s="145" t="s">
        <v>189</v>
      </c>
      <c r="C13" s="145"/>
      <c r="D13" s="85"/>
      <c r="E13" s="15">
        <f>2271+4</f>
        <v>2275</v>
      </c>
      <c r="F13" s="15">
        <v>151</v>
      </c>
      <c r="G13" s="15">
        <v>1404</v>
      </c>
      <c r="H13" s="15">
        <v>15</v>
      </c>
      <c r="I13" s="15">
        <v>82</v>
      </c>
      <c r="J13" s="15">
        <v>6</v>
      </c>
      <c r="K13" s="15">
        <f>1023+10</f>
        <v>1033</v>
      </c>
      <c r="L13" s="15">
        <f>26+9794+11+428+1611</f>
        <v>11870</v>
      </c>
      <c r="M13" s="15">
        <v>5</v>
      </c>
      <c r="N13" s="15">
        <f>1708+101+854</f>
        <v>2663</v>
      </c>
      <c r="O13" s="15">
        <f>34+3+4</f>
        <v>41</v>
      </c>
      <c r="P13" s="15">
        <v>473</v>
      </c>
      <c r="Q13" s="86">
        <f t="shared" si="0"/>
        <v>20018</v>
      </c>
    </row>
    <row r="14" spans="1:19" ht="15.95" customHeight="1">
      <c r="A14" s="84" t="s">
        <v>190</v>
      </c>
      <c r="B14" s="145" t="s">
        <v>191</v>
      </c>
      <c r="C14" s="145"/>
      <c r="D14" s="85"/>
      <c r="E14" s="15">
        <f>2150+6</f>
        <v>2156</v>
      </c>
      <c r="F14" s="15">
        <v>142</v>
      </c>
      <c r="G14" s="15">
        <v>1467</v>
      </c>
      <c r="H14" s="15">
        <v>17</v>
      </c>
      <c r="I14" s="15">
        <v>81</v>
      </c>
      <c r="J14" s="15">
        <v>5</v>
      </c>
      <c r="K14" s="15">
        <f>1019+15</f>
        <v>1034</v>
      </c>
      <c r="L14" s="15">
        <f>22+9086+7+1095+1860</f>
        <v>12070</v>
      </c>
      <c r="M14" s="15">
        <v>5</v>
      </c>
      <c r="N14" s="15">
        <f>1493+222+944</f>
        <v>2659</v>
      </c>
      <c r="O14" s="15">
        <f>30+6+3</f>
        <v>39</v>
      </c>
      <c r="P14" s="15">
        <v>508</v>
      </c>
      <c r="Q14" s="86">
        <f>SUM(E14:P14)</f>
        <v>20183</v>
      </c>
    </row>
    <row r="15" spans="1:19" ht="15.95" customHeight="1">
      <c r="A15" s="84"/>
      <c r="B15" s="145" t="s">
        <v>192</v>
      </c>
      <c r="C15" s="145"/>
      <c r="D15" s="87"/>
      <c r="E15" s="15">
        <v>2105</v>
      </c>
      <c r="F15" s="15">
        <v>127</v>
      </c>
      <c r="G15" s="15">
        <v>1486</v>
      </c>
      <c r="H15" s="15">
        <v>18</v>
      </c>
      <c r="I15" s="15">
        <v>80</v>
      </c>
      <c r="J15" s="15">
        <v>4</v>
      </c>
      <c r="K15" s="15">
        <v>1042</v>
      </c>
      <c r="L15" s="15">
        <v>12404</v>
      </c>
      <c r="M15" s="15">
        <v>5</v>
      </c>
      <c r="N15" s="15">
        <v>2641</v>
      </c>
      <c r="O15" s="15">
        <v>41</v>
      </c>
      <c r="P15" s="15">
        <v>542</v>
      </c>
      <c r="Q15" s="86">
        <f t="shared" si="0"/>
        <v>20495</v>
      </c>
    </row>
    <row r="16" spans="1:19" ht="15.95" customHeight="1">
      <c r="A16" s="84"/>
      <c r="B16" s="152" t="s">
        <v>193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4"/>
    </row>
    <row r="17" spans="1:17" ht="15.95" customHeight="1">
      <c r="A17" s="84"/>
      <c r="B17" s="150" t="s">
        <v>69</v>
      </c>
      <c r="C17" s="151"/>
      <c r="D17" s="87"/>
      <c r="E17" s="15">
        <v>118</v>
      </c>
      <c r="F17" s="15">
        <v>4</v>
      </c>
      <c r="G17" s="15">
        <v>81</v>
      </c>
      <c r="H17" s="15">
        <v>0</v>
      </c>
      <c r="I17" s="15">
        <v>2</v>
      </c>
      <c r="J17" s="15">
        <v>0</v>
      </c>
      <c r="K17" s="15">
        <v>50</v>
      </c>
      <c r="L17" s="15">
        <f>9+563+11+64+122</f>
        <v>769</v>
      </c>
      <c r="M17" s="15">
        <v>0</v>
      </c>
      <c r="N17" s="15">
        <f>62+16+57</f>
        <v>135</v>
      </c>
      <c r="O17" s="15">
        <v>1</v>
      </c>
      <c r="P17" s="15">
        <v>27</v>
      </c>
      <c r="Q17" s="86">
        <f t="shared" ref="Q17:Q35" si="1">SUM(E17:P17)</f>
        <v>1187</v>
      </c>
    </row>
    <row r="18" spans="1:17" ht="15.95" customHeight="1">
      <c r="A18" s="84"/>
      <c r="B18" s="150" t="s">
        <v>68</v>
      </c>
      <c r="C18" s="151"/>
      <c r="D18" s="87"/>
      <c r="E18" s="15">
        <v>68</v>
      </c>
      <c r="F18" s="15">
        <v>5</v>
      </c>
      <c r="G18" s="15">
        <v>39</v>
      </c>
      <c r="H18" s="15">
        <v>0</v>
      </c>
      <c r="I18" s="15">
        <v>5</v>
      </c>
      <c r="J18" s="15">
        <v>0</v>
      </c>
      <c r="K18" s="15">
        <f>26+1</f>
        <v>27</v>
      </c>
      <c r="L18" s="15">
        <f>2+213+1+25+64</f>
        <v>305</v>
      </c>
      <c r="M18" s="15">
        <v>0</v>
      </c>
      <c r="N18" s="15">
        <f>49+13+41</f>
        <v>103</v>
      </c>
      <c r="O18" s="15">
        <v>2</v>
      </c>
      <c r="P18" s="15">
        <v>7</v>
      </c>
      <c r="Q18" s="86">
        <f t="shared" si="1"/>
        <v>561</v>
      </c>
    </row>
    <row r="19" spans="1:17" ht="15.95" customHeight="1">
      <c r="A19" s="84"/>
      <c r="B19" s="150" t="s">
        <v>67</v>
      </c>
      <c r="C19" s="151"/>
      <c r="D19" s="87"/>
      <c r="E19" s="15">
        <v>59</v>
      </c>
      <c r="F19" s="15">
        <v>7</v>
      </c>
      <c r="G19" s="15">
        <v>44</v>
      </c>
      <c r="H19" s="15">
        <v>2</v>
      </c>
      <c r="I19" s="15">
        <v>0</v>
      </c>
      <c r="J19" s="15">
        <v>1</v>
      </c>
      <c r="K19" s="15">
        <v>32</v>
      </c>
      <c r="L19" s="15">
        <f>231+6+40+74</f>
        <v>351</v>
      </c>
      <c r="M19" s="15">
        <v>0</v>
      </c>
      <c r="N19" s="15">
        <f>31+4+30</f>
        <v>65</v>
      </c>
      <c r="O19" s="15">
        <v>0</v>
      </c>
      <c r="P19" s="15">
        <v>9</v>
      </c>
      <c r="Q19" s="86">
        <f t="shared" si="1"/>
        <v>570</v>
      </c>
    </row>
    <row r="20" spans="1:17" ht="15.95" customHeight="1">
      <c r="A20" s="84"/>
      <c r="B20" s="150" t="s">
        <v>66</v>
      </c>
      <c r="C20" s="151"/>
      <c r="D20" s="87"/>
      <c r="E20" s="15">
        <v>133</v>
      </c>
      <c r="F20" s="15">
        <v>10</v>
      </c>
      <c r="G20" s="15">
        <v>96</v>
      </c>
      <c r="H20" s="15">
        <v>0</v>
      </c>
      <c r="I20" s="15">
        <v>0</v>
      </c>
      <c r="J20" s="15">
        <v>0</v>
      </c>
      <c r="K20" s="15">
        <f>46+1</f>
        <v>47</v>
      </c>
      <c r="L20" s="15">
        <f>14+528+14+74+113</f>
        <v>743</v>
      </c>
      <c r="M20" s="15">
        <v>0</v>
      </c>
      <c r="N20" s="15">
        <f>77+16+30</f>
        <v>123</v>
      </c>
      <c r="O20" s="15">
        <v>2</v>
      </c>
      <c r="P20" s="15">
        <v>37</v>
      </c>
      <c r="Q20" s="86">
        <f t="shared" si="1"/>
        <v>1191</v>
      </c>
    </row>
    <row r="21" spans="1:17" ht="15.95" customHeight="1">
      <c r="A21" s="84"/>
      <c r="B21" s="150" t="s">
        <v>65</v>
      </c>
      <c r="C21" s="151"/>
      <c r="D21" s="87"/>
      <c r="E21" s="15">
        <f>362+1</f>
        <v>363</v>
      </c>
      <c r="F21" s="15">
        <v>13</v>
      </c>
      <c r="G21" s="15">
        <v>252</v>
      </c>
      <c r="H21" s="15">
        <v>2</v>
      </c>
      <c r="I21" s="15">
        <v>5</v>
      </c>
      <c r="J21" s="15">
        <v>0</v>
      </c>
      <c r="K21" s="15">
        <f>204+8+1</f>
        <v>213</v>
      </c>
      <c r="L21" s="15">
        <f>28+1503+47+215+347</f>
        <v>2140</v>
      </c>
      <c r="M21" s="15">
        <v>1</v>
      </c>
      <c r="N21" s="15">
        <f>193+32+123</f>
        <v>348</v>
      </c>
      <c r="O21" s="15">
        <f>4+2</f>
        <v>6</v>
      </c>
      <c r="P21" s="15">
        <v>111</v>
      </c>
      <c r="Q21" s="86">
        <f t="shared" si="1"/>
        <v>3454</v>
      </c>
    </row>
    <row r="22" spans="1:17" ht="15.95" customHeight="1">
      <c r="A22" s="84"/>
      <c r="B22" s="150" t="s">
        <v>64</v>
      </c>
      <c r="C22" s="151"/>
      <c r="D22" s="87"/>
      <c r="E22" s="15">
        <f>354+1</f>
        <v>355</v>
      </c>
      <c r="F22" s="15">
        <v>21</v>
      </c>
      <c r="G22" s="15">
        <v>246</v>
      </c>
      <c r="H22" s="15">
        <v>1</v>
      </c>
      <c r="I22" s="15">
        <v>2</v>
      </c>
      <c r="J22" s="15">
        <v>1</v>
      </c>
      <c r="K22" s="15">
        <f>129+4</f>
        <v>133</v>
      </c>
      <c r="L22" s="15">
        <f>24+1228+38+167+284</f>
        <v>1741</v>
      </c>
      <c r="M22" s="15">
        <v>2</v>
      </c>
      <c r="N22" s="15">
        <f>161+23+75</f>
        <v>259</v>
      </c>
      <c r="O22" s="15">
        <v>3</v>
      </c>
      <c r="P22" s="15">
        <v>83</v>
      </c>
      <c r="Q22" s="86">
        <f t="shared" si="1"/>
        <v>2847</v>
      </c>
    </row>
    <row r="23" spans="1:17" ht="15.95" customHeight="1">
      <c r="A23" s="84"/>
      <c r="B23" s="150" t="s">
        <v>63</v>
      </c>
      <c r="C23" s="151"/>
      <c r="D23" s="87"/>
      <c r="E23" s="15">
        <f>80+1</f>
        <v>81</v>
      </c>
      <c r="F23" s="15">
        <v>6</v>
      </c>
      <c r="G23" s="15">
        <v>66</v>
      </c>
      <c r="H23" s="15">
        <v>1</v>
      </c>
      <c r="I23" s="15">
        <v>6</v>
      </c>
      <c r="J23" s="15">
        <v>0</v>
      </c>
      <c r="K23" s="15">
        <v>45</v>
      </c>
      <c r="L23" s="15">
        <f>5+365+12+48+90</f>
        <v>520</v>
      </c>
      <c r="M23" s="15">
        <v>0</v>
      </c>
      <c r="N23" s="15">
        <f>1+38+4+42</f>
        <v>85</v>
      </c>
      <c r="O23" s="15">
        <v>0</v>
      </c>
      <c r="P23" s="15">
        <v>23</v>
      </c>
      <c r="Q23" s="86">
        <f t="shared" si="1"/>
        <v>833</v>
      </c>
    </row>
    <row r="24" spans="1:17" ht="15.95" customHeight="1">
      <c r="A24" s="84"/>
      <c r="B24" s="150" t="s">
        <v>62</v>
      </c>
      <c r="C24" s="151"/>
      <c r="D24" s="87"/>
      <c r="E24" s="15">
        <v>49</v>
      </c>
      <c r="F24" s="15">
        <v>1</v>
      </c>
      <c r="G24" s="15">
        <v>36</v>
      </c>
      <c r="H24" s="15">
        <v>0</v>
      </c>
      <c r="I24" s="15">
        <v>5</v>
      </c>
      <c r="J24" s="15">
        <v>0</v>
      </c>
      <c r="K24" s="15">
        <f>23+1</f>
        <v>24</v>
      </c>
      <c r="L24" s="15">
        <f>5+267+7+33+68</f>
        <v>380</v>
      </c>
      <c r="M24" s="15">
        <v>0</v>
      </c>
      <c r="N24" s="15">
        <f>39+5+50</f>
        <v>94</v>
      </c>
      <c r="O24" s="15">
        <v>1</v>
      </c>
      <c r="P24" s="15">
        <v>13</v>
      </c>
      <c r="Q24" s="86">
        <f t="shared" si="1"/>
        <v>603</v>
      </c>
    </row>
    <row r="25" spans="1:17" ht="15.95" customHeight="1">
      <c r="A25" s="84"/>
      <c r="B25" s="150" t="s">
        <v>61</v>
      </c>
      <c r="C25" s="151"/>
      <c r="D25" s="87"/>
      <c r="E25" s="15">
        <f>85+2</f>
        <v>87</v>
      </c>
      <c r="F25" s="15">
        <v>9</v>
      </c>
      <c r="G25" s="15">
        <v>67</v>
      </c>
      <c r="H25" s="15">
        <v>2</v>
      </c>
      <c r="I25" s="15">
        <v>7</v>
      </c>
      <c r="J25" s="15">
        <v>0</v>
      </c>
      <c r="K25" s="15">
        <v>43</v>
      </c>
      <c r="L25" s="15">
        <f>5+354+6+28+99</f>
        <v>492</v>
      </c>
      <c r="M25" s="15">
        <v>0</v>
      </c>
      <c r="N25" s="15">
        <f>52+21+61</f>
        <v>134</v>
      </c>
      <c r="O25" s="15">
        <f>1+1</f>
        <v>2</v>
      </c>
      <c r="P25" s="15">
        <v>22</v>
      </c>
      <c r="Q25" s="86">
        <f t="shared" si="1"/>
        <v>865</v>
      </c>
    </row>
    <row r="26" spans="1:17" ht="15.95" customHeight="1">
      <c r="A26" s="84"/>
      <c r="B26" s="150" t="s">
        <v>60</v>
      </c>
      <c r="C26" s="151"/>
      <c r="D26" s="87"/>
      <c r="E26" s="15">
        <f>500+1</f>
        <v>501</v>
      </c>
      <c r="F26" s="15">
        <v>32</v>
      </c>
      <c r="G26" s="15">
        <v>376</v>
      </c>
      <c r="H26" s="15">
        <v>8</v>
      </c>
      <c r="I26" s="15">
        <v>15</v>
      </c>
      <c r="J26" s="15">
        <v>0</v>
      </c>
      <c r="K26" s="15">
        <f>291+3</f>
        <v>294</v>
      </c>
      <c r="L26" s="15">
        <f>25+1969+53+301+464</f>
        <v>2812</v>
      </c>
      <c r="M26" s="15">
        <v>0</v>
      </c>
      <c r="N26" s="15">
        <f>2+285+54+207</f>
        <v>548</v>
      </c>
      <c r="O26" s="15">
        <f>1+1</f>
        <v>2</v>
      </c>
      <c r="P26" s="15">
        <v>129</v>
      </c>
      <c r="Q26" s="86">
        <f t="shared" si="1"/>
        <v>4717</v>
      </c>
    </row>
    <row r="27" spans="1:17" ht="15.95" customHeight="1">
      <c r="A27" s="84"/>
      <c r="B27" s="150" t="s">
        <v>59</v>
      </c>
      <c r="C27" s="151"/>
      <c r="D27" s="87"/>
      <c r="E27" s="15">
        <v>47</v>
      </c>
      <c r="F27" s="15">
        <v>4</v>
      </c>
      <c r="G27" s="15">
        <v>34</v>
      </c>
      <c r="H27" s="15">
        <v>1</v>
      </c>
      <c r="I27" s="15">
        <v>23</v>
      </c>
      <c r="J27" s="15">
        <v>0</v>
      </c>
      <c r="K27" s="15">
        <v>40</v>
      </c>
      <c r="L27" s="15">
        <f>2+207+9+22+56</f>
        <v>296</v>
      </c>
      <c r="M27" s="15">
        <v>0</v>
      </c>
      <c r="N27" s="15">
        <f>48+6+45</f>
        <v>99</v>
      </c>
      <c r="O27" s="15">
        <v>1</v>
      </c>
      <c r="P27" s="15">
        <v>21</v>
      </c>
      <c r="Q27" s="86">
        <f t="shared" si="1"/>
        <v>566</v>
      </c>
    </row>
    <row r="28" spans="1:17" ht="15.95" customHeight="1">
      <c r="A28" s="84"/>
      <c r="B28" s="150" t="s">
        <v>58</v>
      </c>
      <c r="C28" s="151"/>
      <c r="D28" s="87"/>
      <c r="E28" s="15">
        <v>38</v>
      </c>
      <c r="F28" s="15">
        <v>7</v>
      </c>
      <c r="G28" s="15">
        <v>34</v>
      </c>
      <c r="H28" s="15">
        <v>0</v>
      </c>
      <c r="I28" s="15">
        <v>7</v>
      </c>
      <c r="J28" s="15">
        <v>1</v>
      </c>
      <c r="K28" s="15">
        <v>26</v>
      </c>
      <c r="L28" s="15">
        <f>3+183+3+25+48</f>
        <v>262</v>
      </c>
      <c r="M28" s="15">
        <v>0</v>
      </c>
      <c r="N28" s="15">
        <f>1+56+15+56</f>
        <v>128</v>
      </c>
      <c r="O28" s="15">
        <v>0</v>
      </c>
      <c r="P28" s="15">
        <v>22</v>
      </c>
      <c r="Q28" s="86">
        <f t="shared" si="1"/>
        <v>525</v>
      </c>
    </row>
    <row r="29" spans="1:17" ht="15.95" customHeight="1">
      <c r="A29" s="84"/>
      <c r="B29" s="150" t="s">
        <v>57</v>
      </c>
      <c r="C29" s="151"/>
      <c r="D29" s="87"/>
      <c r="E29" s="15">
        <v>39</v>
      </c>
      <c r="F29" s="15">
        <v>1</v>
      </c>
      <c r="G29" s="15">
        <v>20</v>
      </c>
      <c r="H29" s="11">
        <v>0</v>
      </c>
      <c r="I29" s="15">
        <v>0</v>
      </c>
      <c r="J29" s="15">
        <v>0</v>
      </c>
      <c r="K29" s="15">
        <v>14</v>
      </c>
      <c r="L29" s="15">
        <f>4+141+4+13+23</f>
        <v>185</v>
      </c>
      <c r="M29" s="15">
        <v>1</v>
      </c>
      <c r="N29" s="15">
        <f>11+13</f>
        <v>24</v>
      </c>
      <c r="O29" s="15">
        <v>0</v>
      </c>
      <c r="P29" s="15">
        <v>8</v>
      </c>
      <c r="Q29" s="86">
        <f t="shared" si="1"/>
        <v>292</v>
      </c>
    </row>
    <row r="30" spans="1:17" ht="15.95" customHeight="1">
      <c r="A30" s="84"/>
      <c r="B30" s="150" t="s">
        <v>56</v>
      </c>
      <c r="C30" s="151"/>
      <c r="D30" s="87"/>
      <c r="E30" s="15">
        <v>25</v>
      </c>
      <c r="F30" s="15">
        <v>1</v>
      </c>
      <c r="G30" s="15">
        <v>13</v>
      </c>
      <c r="H30" s="11">
        <v>0</v>
      </c>
      <c r="I30" s="15">
        <v>0</v>
      </c>
      <c r="J30" s="15">
        <v>0</v>
      </c>
      <c r="K30" s="15">
        <v>7</v>
      </c>
      <c r="L30" s="15">
        <f>3+78+1+13+27</f>
        <v>122</v>
      </c>
      <c r="M30" s="15">
        <v>0</v>
      </c>
      <c r="N30" s="15">
        <f>15+1+6</f>
        <v>22</v>
      </c>
      <c r="O30" s="15">
        <v>0</v>
      </c>
      <c r="P30" s="15">
        <v>2</v>
      </c>
      <c r="Q30" s="86">
        <f t="shared" si="1"/>
        <v>192</v>
      </c>
    </row>
    <row r="31" spans="1:17" ht="15.95" customHeight="1">
      <c r="A31" s="84"/>
      <c r="B31" s="150" t="s">
        <v>55</v>
      </c>
      <c r="C31" s="151"/>
      <c r="D31" s="87"/>
      <c r="E31" s="15">
        <v>41</v>
      </c>
      <c r="F31" s="15">
        <v>0</v>
      </c>
      <c r="G31" s="15">
        <v>32</v>
      </c>
      <c r="H31" s="11">
        <v>0</v>
      </c>
      <c r="I31" s="15">
        <v>0</v>
      </c>
      <c r="J31" s="15">
        <v>0</v>
      </c>
      <c r="K31" s="15">
        <v>12</v>
      </c>
      <c r="L31" s="15">
        <f>156+2+14+47</f>
        <v>219</v>
      </c>
      <c r="M31" s="15">
        <v>0</v>
      </c>
      <c r="N31" s="15">
        <f>13+1+9</f>
        <v>23</v>
      </c>
      <c r="O31" s="15">
        <v>0</v>
      </c>
      <c r="P31" s="15">
        <v>2</v>
      </c>
      <c r="Q31" s="86">
        <f t="shared" si="1"/>
        <v>329</v>
      </c>
    </row>
    <row r="32" spans="1:17" ht="15.95" customHeight="1">
      <c r="A32" s="84"/>
      <c r="B32" s="150" t="s">
        <v>54</v>
      </c>
      <c r="C32" s="151"/>
      <c r="D32" s="87"/>
      <c r="E32" s="15">
        <v>14</v>
      </c>
      <c r="F32" s="15">
        <v>0</v>
      </c>
      <c r="G32" s="15">
        <v>10</v>
      </c>
      <c r="H32" s="11">
        <v>0</v>
      </c>
      <c r="I32" s="15">
        <v>0</v>
      </c>
      <c r="J32" s="15">
        <v>0</v>
      </c>
      <c r="K32" s="15">
        <v>5</v>
      </c>
      <c r="L32" s="15">
        <f>1+29+6+15</f>
        <v>51</v>
      </c>
      <c r="M32" s="15">
        <v>0</v>
      </c>
      <c r="N32" s="15">
        <f>9+2+8</f>
        <v>19</v>
      </c>
      <c r="O32" s="15">
        <v>0</v>
      </c>
      <c r="P32" s="15">
        <v>0</v>
      </c>
      <c r="Q32" s="86">
        <f t="shared" si="1"/>
        <v>99</v>
      </c>
    </row>
    <row r="33" spans="1:17" ht="15.95" customHeight="1">
      <c r="A33" s="84"/>
      <c r="B33" s="150" t="s">
        <v>53</v>
      </c>
      <c r="C33" s="151"/>
      <c r="D33" s="87"/>
      <c r="E33" s="15">
        <v>33</v>
      </c>
      <c r="F33" s="15">
        <v>2</v>
      </c>
      <c r="G33" s="15">
        <v>14</v>
      </c>
      <c r="H33" s="11">
        <v>1</v>
      </c>
      <c r="I33" s="15">
        <v>0</v>
      </c>
      <c r="J33" s="15">
        <v>0</v>
      </c>
      <c r="K33" s="15">
        <v>7</v>
      </c>
      <c r="L33" s="15">
        <f>104+2+12+30</f>
        <v>148</v>
      </c>
      <c r="M33" s="15">
        <v>0</v>
      </c>
      <c r="N33" s="15">
        <f>12+2+10</f>
        <v>24</v>
      </c>
      <c r="O33" s="15">
        <v>0</v>
      </c>
      <c r="P33" s="15">
        <v>6</v>
      </c>
      <c r="Q33" s="86">
        <f t="shared" si="1"/>
        <v>235</v>
      </c>
    </row>
    <row r="34" spans="1:17" ht="15.95" customHeight="1">
      <c r="A34" s="88"/>
      <c r="B34" s="150" t="s">
        <v>52</v>
      </c>
      <c r="C34" s="155"/>
      <c r="D34" s="89"/>
      <c r="E34" s="15">
        <v>15</v>
      </c>
      <c r="F34" s="15">
        <v>2</v>
      </c>
      <c r="G34" s="15">
        <v>14</v>
      </c>
      <c r="H34" s="15">
        <v>0</v>
      </c>
      <c r="I34" s="15">
        <v>1</v>
      </c>
      <c r="J34" s="15">
        <v>0</v>
      </c>
      <c r="K34" s="15">
        <v>11</v>
      </c>
      <c r="L34" s="15">
        <f>3+79+3+16+5</f>
        <v>106</v>
      </c>
      <c r="M34" s="15">
        <v>0</v>
      </c>
      <c r="N34" s="15">
        <f>6+1+3</f>
        <v>10</v>
      </c>
      <c r="O34" s="15">
        <v>0</v>
      </c>
      <c r="P34" s="15">
        <v>10</v>
      </c>
      <c r="Q34" s="86">
        <f t="shared" si="1"/>
        <v>169</v>
      </c>
    </row>
    <row r="35" spans="1:17" ht="15.95" customHeight="1">
      <c r="A35" s="90"/>
      <c r="B35" s="156" t="s">
        <v>51</v>
      </c>
      <c r="C35" s="157"/>
      <c r="D35" s="91"/>
      <c r="E35" s="92">
        <v>39</v>
      </c>
      <c r="F35" s="92">
        <v>2</v>
      </c>
      <c r="G35" s="92">
        <v>12</v>
      </c>
      <c r="H35" s="92">
        <v>0</v>
      </c>
      <c r="I35" s="92">
        <v>2</v>
      </c>
      <c r="J35" s="92">
        <v>1</v>
      </c>
      <c r="K35" s="92">
        <v>12</v>
      </c>
      <c r="L35" s="92">
        <v>762</v>
      </c>
      <c r="M35" s="92">
        <v>1</v>
      </c>
      <c r="N35" s="92">
        <v>398</v>
      </c>
      <c r="O35" s="92">
        <v>21</v>
      </c>
      <c r="P35" s="92">
        <v>10</v>
      </c>
      <c r="Q35" s="93">
        <f t="shared" si="1"/>
        <v>1260</v>
      </c>
    </row>
    <row r="36" spans="1:17" ht="15.75" customHeight="1">
      <c r="A36" s="67"/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54" t="s">
        <v>194</v>
      </c>
    </row>
    <row r="37" spans="1:17" ht="15.75" customHeight="1"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</row>
    <row r="38" spans="1:17" ht="14.25"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</row>
    <row r="39" spans="1:17" ht="14.25"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</row>
    <row r="40" spans="1:17" ht="14.25"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</row>
    <row r="41" spans="1:17" ht="14.25"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</row>
    <row r="42" spans="1:17" ht="14.25"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</row>
    <row r="43" spans="1:17" ht="14.25"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</row>
  </sheetData>
  <mergeCells count="44">
    <mergeCell ref="B32:C32"/>
    <mergeCell ref="B33:C33"/>
    <mergeCell ref="B34:C34"/>
    <mergeCell ref="B35:C35"/>
    <mergeCell ref="B26:C26"/>
    <mergeCell ref="B27:C27"/>
    <mergeCell ref="B28:C28"/>
    <mergeCell ref="B29:C29"/>
    <mergeCell ref="B30:C30"/>
    <mergeCell ref="B31:C31"/>
    <mergeCell ref="B25:C25"/>
    <mergeCell ref="B14:C14"/>
    <mergeCell ref="B15:C15"/>
    <mergeCell ref="B16:Q16"/>
    <mergeCell ref="B17:C17"/>
    <mergeCell ref="B18:C18"/>
    <mergeCell ref="B19:C19"/>
    <mergeCell ref="B20:C20"/>
    <mergeCell ref="B21:C21"/>
    <mergeCell ref="B22:C22"/>
    <mergeCell ref="B23:C23"/>
    <mergeCell ref="B24:C24"/>
    <mergeCell ref="B13:C13"/>
    <mergeCell ref="K4:K5"/>
    <mergeCell ref="L4:M4"/>
    <mergeCell ref="N4:O4"/>
    <mergeCell ref="P4:P5"/>
    <mergeCell ref="B6:C6"/>
    <mergeCell ref="B7:C7"/>
    <mergeCell ref="B8:C8"/>
    <mergeCell ref="B9:C9"/>
    <mergeCell ref="B10:C10"/>
    <mergeCell ref="B11:C11"/>
    <mergeCell ref="B12:C12"/>
    <mergeCell ref="E3:H3"/>
    <mergeCell ref="I3:J3"/>
    <mergeCell ref="K3:P3"/>
    <mergeCell ref="Q3:Q5"/>
    <mergeCell ref="E4:E5"/>
    <mergeCell ref="F4:F5"/>
    <mergeCell ref="G4:G5"/>
    <mergeCell ref="H4:H5"/>
    <mergeCell ref="I4:I5"/>
    <mergeCell ref="J4:J5"/>
  </mergeCells>
  <phoneticPr fontId="2"/>
  <printOptions gridLinesSet="0"/>
  <pageMargins left="0.59055118110236227" right="0.59055118110236227" top="0.59055118110236227" bottom="0.19685039370078741" header="0.31496062992125984" footer="0.31496062992125984"/>
  <pageSetup paperSize="9" scale="92" firstPageNumber="97" orientation="landscape" useFirstPageNumber="1" horizontalDpi="4294967292" verticalDpi="1200" r:id="rId1"/>
  <headerFooter>
    <oddHeader>&amp;R&amp;10運輸および通信</oddHeader>
    <oddFooter>&amp;C－&amp;P－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6"/>
  <sheetViews>
    <sheetView zoomScaleNormal="100" zoomScaleSheetLayoutView="115" workbookViewId="0">
      <selection activeCell="O15" sqref="O15"/>
    </sheetView>
  </sheetViews>
  <sheetFormatPr defaultColWidth="10.875" defaultRowHeight="13.5"/>
  <cols>
    <col min="1" max="1" width="1.375" style="97" customWidth="1"/>
    <col min="2" max="2" width="3.625" style="97" customWidth="1"/>
    <col min="3" max="3" width="12.75" style="95" customWidth="1"/>
    <col min="4" max="4" width="8.125" style="96" customWidth="1"/>
    <col min="5" max="5" width="22" style="97" customWidth="1"/>
    <col min="6" max="8" width="8.125" style="97" customWidth="1"/>
    <col min="9" max="9" width="9.75" style="98" customWidth="1"/>
    <col min="10" max="10" width="10.5" style="96" customWidth="1"/>
    <col min="11" max="16384" width="10.875" style="97"/>
  </cols>
  <sheetData>
    <row r="1" spans="2:12" ht="15.75" customHeight="1">
      <c r="B1" s="51" t="s">
        <v>198</v>
      </c>
    </row>
    <row r="2" spans="2:12" ht="15" customHeight="1">
      <c r="J2" s="99" t="s">
        <v>199</v>
      </c>
    </row>
    <row r="3" spans="2:12" ht="33.950000000000003" customHeight="1">
      <c r="B3" s="100" t="s">
        <v>153</v>
      </c>
      <c r="C3" s="101" t="s">
        <v>200</v>
      </c>
      <c r="D3" s="102" t="s">
        <v>201</v>
      </c>
      <c r="E3" s="102" t="s">
        <v>202</v>
      </c>
      <c r="F3" s="103" t="s">
        <v>203</v>
      </c>
      <c r="G3" s="102" t="s">
        <v>204</v>
      </c>
      <c r="H3" s="104" t="s">
        <v>205</v>
      </c>
      <c r="I3" s="105" t="s">
        <v>152</v>
      </c>
      <c r="J3" s="106" t="s">
        <v>151</v>
      </c>
    </row>
    <row r="4" spans="2:12" ht="36.950000000000003" customHeight="1">
      <c r="B4" s="112">
        <v>30</v>
      </c>
      <c r="C4" s="113" t="s">
        <v>150</v>
      </c>
      <c r="D4" s="114" t="s">
        <v>206</v>
      </c>
      <c r="E4" s="115" t="s">
        <v>134</v>
      </c>
      <c r="F4" s="114" t="s">
        <v>149</v>
      </c>
      <c r="G4" s="116" t="s">
        <v>207</v>
      </c>
      <c r="H4" s="117" t="s">
        <v>208</v>
      </c>
      <c r="I4" s="113" t="s">
        <v>209</v>
      </c>
      <c r="J4" s="118" t="s">
        <v>92</v>
      </c>
      <c r="K4" s="107"/>
    </row>
    <row r="5" spans="2:12" ht="36.950000000000003" customHeight="1">
      <c r="B5" s="36">
        <v>34</v>
      </c>
      <c r="C5" s="31" t="s">
        <v>210</v>
      </c>
      <c r="D5" s="49" t="s">
        <v>77</v>
      </c>
      <c r="E5" s="33" t="s">
        <v>148</v>
      </c>
      <c r="F5" s="48" t="s">
        <v>163</v>
      </c>
      <c r="G5" s="33" t="s">
        <v>211</v>
      </c>
      <c r="H5" s="47" t="s">
        <v>147</v>
      </c>
      <c r="I5" s="31" t="s">
        <v>146</v>
      </c>
      <c r="J5" s="37" t="s">
        <v>88</v>
      </c>
      <c r="K5" s="108"/>
    </row>
    <row r="6" spans="2:12" ht="36.950000000000003" customHeight="1">
      <c r="B6" s="36">
        <v>35</v>
      </c>
      <c r="C6" s="31" t="s">
        <v>212</v>
      </c>
      <c r="D6" s="49" t="s">
        <v>77</v>
      </c>
      <c r="E6" s="50" t="s">
        <v>77</v>
      </c>
      <c r="F6" s="49" t="s">
        <v>77</v>
      </c>
      <c r="G6" s="33" t="s">
        <v>213</v>
      </c>
      <c r="H6" s="47" t="s">
        <v>145</v>
      </c>
      <c r="I6" s="31" t="s">
        <v>144</v>
      </c>
      <c r="J6" s="30" t="s">
        <v>77</v>
      </c>
      <c r="K6" s="108"/>
    </row>
    <row r="7" spans="2:12" ht="36.950000000000003" customHeight="1">
      <c r="B7" s="36">
        <v>37</v>
      </c>
      <c r="C7" s="31" t="s">
        <v>143</v>
      </c>
      <c r="D7" s="49" t="s">
        <v>214</v>
      </c>
      <c r="E7" s="33" t="s">
        <v>134</v>
      </c>
      <c r="F7" s="48" t="s">
        <v>142</v>
      </c>
      <c r="G7" s="33" t="s">
        <v>215</v>
      </c>
      <c r="H7" s="47" t="s">
        <v>216</v>
      </c>
      <c r="I7" s="31" t="s">
        <v>217</v>
      </c>
      <c r="J7" s="118" t="s">
        <v>92</v>
      </c>
      <c r="K7" s="107"/>
    </row>
    <row r="8" spans="2:12" ht="36.950000000000003" customHeight="1">
      <c r="B8" s="36">
        <v>38</v>
      </c>
      <c r="C8" s="31" t="s">
        <v>120</v>
      </c>
      <c r="D8" s="48" t="s">
        <v>214</v>
      </c>
      <c r="E8" s="33" t="s">
        <v>134</v>
      </c>
      <c r="F8" s="48" t="s">
        <v>141</v>
      </c>
      <c r="G8" s="33" t="s">
        <v>218</v>
      </c>
      <c r="H8" s="47" t="s">
        <v>219</v>
      </c>
      <c r="I8" s="31" t="s">
        <v>220</v>
      </c>
      <c r="J8" s="30" t="s">
        <v>77</v>
      </c>
      <c r="K8" s="107"/>
      <c r="L8" s="109"/>
    </row>
    <row r="9" spans="2:12" ht="36.950000000000003" customHeight="1">
      <c r="B9" s="36">
        <v>39</v>
      </c>
      <c r="C9" s="31" t="s">
        <v>140</v>
      </c>
      <c r="D9" s="49" t="s">
        <v>77</v>
      </c>
      <c r="E9" s="50" t="s">
        <v>77</v>
      </c>
      <c r="F9" s="48" t="s">
        <v>165</v>
      </c>
      <c r="G9" s="33" t="s">
        <v>221</v>
      </c>
      <c r="H9" s="47" t="s">
        <v>139</v>
      </c>
      <c r="I9" s="31" t="s">
        <v>138</v>
      </c>
      <c r="J9" s="37" t="s">
        <v>88</v>
      </c>
      <c r="K9" s="107"/>
    </row>
    <row r="10" spans="2:12" ht="36.950000000000003" customHeight="1">
      <c r="B10" s="36">
        <v>40</v>
      </c>
      <c r="C10" s="31" t="s">
        <v>137</v>
      </c>
      <c r="D10" s="49" t="s">
        <v>77</v>
      </c>
      <c r="E10" s="33" t="s">
        <v>99</v>
      </c>
      <c r="F10" s="34" t="s">
        <v>166</v>
      </c>
      <c r="G10" s="33" t="s">
        <v>222</v>
      </c>
      <c r="H10" s="47" t="s">
        <v>136</v>
      </c>
      <c r="I10" s="31" t="s">
        <v>135</v>
      </c>
      <c r="J10" s="30" t="s">
        <v>77</v>
      </c>
    </row>
    <row r="11" spans="2:12" ht="36.950000000000003" customHeight="1">
      <c r="B11" s="36">
        <v>41</v>
      </c>
      <c r="C11" s="31" t="s">
        <v>223</v>
      </c>
      <c r="D11" s="49" t="s">
        <v>77</v>
      </c>
      <c r="E11" s="33" t="s">
        <v>134</v>
      </c>
      <c r="F11" s="48" t="s">
        <v>164</v>
      </c>
      <c r="G11" s="33" t="s">
        <v>224</v>
      </c>
      <c r="H11" s="47" t="s">
        <v>133</v>
      </c>
      <c r="I11" s="31" t="s">
        <v>132</v>
      </c>
      <c r="J11" s="30" t="s">
        <v>77</v>
      </c>
    </row>
    <row r="12" spans="2:12" ht="36.950000000000003" customHeight="1">
      <c r="B12" s="36">
        <v>49</v>
      </c>
      <c r="C12" s="31" t="s">
        <v>131</v>
      </c>
      <c r="D12" s="49" t="s">
        <v>77</v>
      </c>
      <c r="E12" s="33" t="s">
        <v>130</v>
      </c>
      <c r="F12" s="48" t="s">
        <v>129</v>
      </c>
      <c r="G12" s="33" t="s">
        <v>225</v>
      </c>
      <c r="H12" s="47" t="s">
        <v>128</v>
      </c>
      <c r="I12" s="31" t="s">
        <v>127</v>
      </c>
      <c r="J12" s="30" t="s">
        <v>77</v>
      </c>
    </row>
    <row r="13" spans="2:12" ht="36.950000000000003" customHeight="1">
      <c r="B13" s="36">
        <v>50</v>
      </c>
      <c r="C13" s="31" t="s">
        <v>226</v>
      </c>
      <c r="D13" s="49" t="s">
        <v>126</v>
      </c>
      <c r="E13" s="33" t="s">
        <v>112</v>
      </c>
      <c r="F13" s="48" t="s">
        <v>227</v>
      </c>
      <c r="G13" s="33" t="s">
        <v>228</v>
      </c>
      <c r="H13" s="47" t="s">
        <v>125</v>
      </c>
      <c r="I13" s="31" t="s">
        <v>124</v>
      </c>
      <c r="J13" s="37" t="s">
        <v>108</v>
      </c>
    </row>
    <row r="14" spans="2:12" ht="36.950000000000003" customHeight="1">
      <c r="B14" s="36">
        <v>51</v>
      </c>
      <c r="C14" s="31" t="s">
        <v>123</v>
      </c>
      <c r="D14" s="49" t="s">
        <v>77</v>
      </c>
      <c r="E14" s="50" t="s">
        <v>77</v>
      </c>
      <c r="F14" s="49" t="s">
        <v>77</v>
      </c>
      <c r="G14" s="33" t="s">
        <v>229</v>
      </c>
      <c r="H14" s="47" t="s">
        <v>122</v>
      </c>
      <c r="I14" s="31" t="s">
        <v>121</v>
      </c>
      <c r="J14" s="30" t="s">
        <v>77</v>
      </c>
    </row>
    <row r="15" spans="2:12" ht="36.950000000000003" customHeight="1">
      <c r="B15" s="36">
        <v>53</v>
      </c>
      <c r="C15" s="31" t="s">
        <v>120</v>
      </c>
      <c r="D15" s="49" t="s">
        <v>77</v>
      </c>
      <c r="E15" s="50" t="s">
        <v>77</v>
      </c>
      <c r="F15" s="48" t="s">
        <v>230</v>
      </c>
      <c r="G15" s="33" t="s">
        <v>231</v>
      </c>
      <c r="H15" s="47" t="s">
        <v>119</v>
      </c>
      <c r="I15" s="31" t="s">
        <v>118</v>
      </c>
      <c r="J15" s="30" t="s">
        <v>77</v>
      </c>
    </row>
    <row r="16" spans="2:12" ht="36.950000000000003" customHeight="1">
      <c r="B16" s="36">
        <v>54</v>
      </c>
      <c r="C16" s="31" t="s">
        <v>232</v>
      </c>
      <c r="D16" s="49" t="s">
        <v>77</v>
      </c>
      <c r="E16" s="50" t="s">
        <v>77</v>
      </c>
      <c r="F16" s="48" t="s">
        <v>117</v>
      </c>
      <c r="G16" s="33" t="s">
        <v>116</v>
      </c>
      <c r="H16" s="47" t="s">
        <v>115</v>
      </c>
      <c r="I16" s="119" t="s">
        <v>114</v>
      </c>
      <c r="J16" s="30" t="s">
        <v>77</v>
      </c>
    </row>
    <row r="17" spans="2:12" ht="36.950000000000003" customHeight="1">
      <c r="B17" s="36">
        <v>83</v>
      </c>
      <c r="C17" s="31" t="s">
        <v>113</v>
      </c>
      <c r="D17" s="49" t="s">
        <v>77</v>
      </c>
      <c r="E17" s="33" t="s">
        <v>112</v>
      </c>
      <c r="F17" s="48" t="s">
        <v>111</v>
      </c>
      <c r="G17" s="33" t="s">
        <v>233</v>
      </c>
      <c r="H17" s="47" t="s">
        <v>110</v>
      </c>
      <c r="I17" s="31" t="s">
        <v>109</v>
      </c>
      <c r="J17" s="37" t="s">
        <v>108</v>
      </c>
    </row>
    <row r="18" spans="2:12" ht="36.950000000000003" customHeight="1">
      <c r="B18" s="36">
        <v>91</v>
      </c>
      <c r="C18" s="31" t="s">
        <v>234</v>
      </c>
      <c r="D18" s="48" t="s">
        <v>107</v>
      </c>
      <c r="E18" s="120" t="s">
        <v>106</v>
      </c>
      <c r="F18" s="48" t="s">
        <v>105</v>
      </c>
      <c r="G18" s="33" t="s">
        <v>235</v>
      </c>
      <c r="H18" s="47" t="s">
        <v>236</v>
      </c>
      <c r="I18" s="31" t="s">
        <v>237</v>
      </c>
      <c r="J18" s="118" t="s">
        <v>92</v>
      </c>
    </row>
    <row r="19" spans="2:12" ht="36.950000000000003" customHeight="1">
      <c r="B19" s="36">
        <v>100</v>
      </c>
      <c r="C19" s="31" t="s">
        <v>104</v>
      </c>
      <c r="D19" s="49" t="s">
        <v>103</v>
      </c>
      <c r="E19" s="33" t="s">
        <v>238</v>
      </c>
      <c r="F19" s="48" t="s">
        <v>102</v>
      </c>
      <c r="G19" s="33" t="s">
        <v>239</v>
      </c>
      <c r="H19" s="47" t="s">
        <v>101</v>
      </c>
      <c r="I19" s="31" t="s">
        <v>100</v>
      </c>
      <c r="J19" s="37" t="s">
        <v>88</v>
      </c>
      <c r="K19" s="110"/>
      <c r="L19" s="110"/>
    </row>
    <row r="20" spans="2:12" ht="36.950000000000003" customHeight="1">
      <c r="B20" s="46">
        <v>109</v>
      </c>
      <c r="C20" s="45" t="s">
        <v>240</v>
      </c>
      <c r="D20" s="44" t="s">
        <v>77</v>
      </c>
      <c r="E20" s="42" t="s">
        <v>99</v>
      </c>
      <c r="F20" s="43" t="s">
        <v>168</v>
      </c>
      <c r="G20" s="42" t="s">
        <v>241</v>
      </c>
      <c r="H20" s="41" t="s">
        <v>98</v>
      </c>
      <c r="I20" s="31" t="s">
        <v>97</v>
      </c>
      <c r="J20" s="40" t="s">
        <v>77</v>
      </c>
    </row>
    <row r="21" spans="2:12" ht="36.950000000000003" customHeight="1">
      <c r="B21" s="36">
        <v>191</v>
      </c>
      <c r="C21" s="31" t="s">
        <v>96</v>
      </c>
      <c r="D21" s="48" t="s">
        <v>95</v>
      </c>
      <c r="E21" s="33" t="s">
        <v>94</v>
      </c>
      <c r="F21" s="34" t="s">
        <v>93</v>
      </c>
      <c r="G21" s="33" t="s">
        <v>242</v>
      </c>
      <c r="H21" s="47" t="s">
        <v>243</v>
      </c>
      <c r="I21" s="31" t="s">
        <v>244</v>
      </c>
      <c r="J21" s="37" t="s">
        <v>92</v>
      </c>
    </row>
    <row r="22" spans="2:12" ht="36.950000000000003" customHeight="1">
      <c r="B22" s="39">
        <v>200</v>
      </c>
      <c r="C22" s="31" t="s">
        <v>91</v>
      </c>
      <c r="D22" s="38" t="s">
        <v>249</v>
      </c>
      <c r="E22" s="33" t="s">
        <v>81</v>
      </c>
      <c r="F22" s="34" t="s">
        <v>167</v>
      </c>
      <c r="G22" s="33" t="s">
        <v>245</v>
      </c>
      <c r="H22" s="32" t="s">
        <v>90</v>
      </c>
      <c r="I22" s="31" t="s">
        <v>89</v>
      </c>
      <c r="J22" s="37" t="s">
        <v>88</v>
      </c>
    </row>
    <row r="23" spans="2:12" ht="36.950000000000003" customHeight="1">
      <c r="B23" s="36">
        <v>235</v>
      </c>
      <c r="C23" s="31" t="s">
        <v>87</v>
      </c>
      <c r="D23" s="35" t="s">
        <v>248</v>
      </c>
      <c r="E23" s="33" t="s">
        <v>81</v>
      </c>
      <c r="F23" s="34" t="s">
        <v>167</v>
      </c>
      <c r="G23" s="33" t="s">
        <v>86</v>
      </c>
      <c r="H23" s="32" t="s">
        <v>85</v>
      </c>
      <c r="I23" s="31" t="s">
        <v>84</v>
      </c>
      <c r="J23" s="30" t="s">
        <v>77</v>
      </c>
      <c r="K23" s="111"/>
    </row>
    <row r="24" spans="2:12" ht="36.950000000000003" customHeight="1">
      <c r="B24" s="29">
        <v>334</v>
      </c>
      <c r="C24" s="24" t="s">
        <v>83</v>
      </c>
      <c r="D24" s="28" t="s">
        <v>82</v>
      </c>
      <c r="E24" s="26" t="s">
        <v>81</v>
      </c>
      <c r="F24" s="27" t="s">
        <v>167</v>
      </c>
      <c r="G24" s="26" t="s">
        <v>80</v>
      </c>
      <c r="H24" s="25" t="s">
        <v>79</v>
      </c>
      <c r="I24" s="24" t="s">
        <v>78</v>
      </c>
      <c r="J24" s="23" t="s">
        <v>77</v>
      </c>
    </row>
    <row r="25" spans="2:12" ht="5.25" customHeight="1">
      <c r="B25" s="22"/>
      <c r="C25" s="17"/>
      <c r="D25" s="16"/>
      <c r="E25" s="21"/>
      <c r="F25" s="20"/>
      <c r="G25" s="19"/>
      <c r="H25" s="18"/>
      <c r="I25" s="17"/>
      <c r="J25" s="16"/>
    </row>
    <row r="26" spans="2:12" ht="21.75" customHeight="1">
      <c r="C26" s="52" t="s">
        <v>154</v>
      </c>
      <c r="G26" s="158" t="s">
        <v>76</v>
      </c>
      <c r="H26" s="158"/>
      <c r="I26" s="158"/>
      <c r="J26" s="158"/>
    </row>
  </sheetData>
  <mergeCells count="1">
    <mergeCell ref="G26:J26"/>
  </mergeCells>
  <phoneticPr fontId="2"/>
  <printOptions horizontalCentered="1" gridLinesSet="0"/>
  <pageMargins left="0.59055118110236227" right="0.59055118110236227" top="0.59055118110236227" bottom="0.59055118110236227" header="0.31496062992125984" footer="0.31496062992125984"/>
  <pageSetup paperSize="9" scale="90" firstPageNumber="98" orientation="portrait" useFirstPageNumber="1" r:id="rId1"/>
  <headerFooter alignWithMargins="0">
    <oddHeader>&amp;L&amp;10運   輸</oddHeader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95</vt:lpstr>
      <vt:lpstr>96</vt:lpstr>
      <vt:lpstr>97</vt:lpstr>
      <vt:lpstr>98</vt:lpstr>
      <vt:lpstr>'95'!Print_Area</vt:lpstr>
      <vt:lpstr>'96'!Print_Area</vt:lpstr>
      <vt:lpstr>'98'!Print_Area</vt:lpstr>
    </vt:vector>
  </TitlesOfParts>
  <Company>南風原町役場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南風原町役場</dc:creator>
  <cp:lastModifiedBy>S00350</cp:lastModifiedBy>
  <cp:lastPrinted>2019-03-22T02:01:49Z</cp:lastPrinted>
  <dcterms:created xsi:type="dcterms:W3CDTF">2016-03-17T02:25:05Z</dcterms:created>
  <dcterms:modified xsi:type="dcterms:W3CDTF">2021-03-22T08:12:45Z</dcterms:modified>
</cp:coreProperties>
</file>